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1125" windowWidth="18315" windowHeight="11505" tabRatio="774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'!$A$1:$Y$595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V1006" i="2" l="1"/>
  <c r="U1006" i="2"/>
  <c r="T1006" i="2"/>
  <c r="R1006" i="2"/>
  <c r="N1006" i="2"/>
  <c r="S91" i="7"/>
  <c r="R91" i="7"/>
  <c r="Q91" i="7"/>
  <c r="P91" i="7"/>
  <c r="T93" i="5"/>
  <c r="S93" i="5"/>
  <c r="R93" i="5"/>
  <c r="X446" i="1"/>
  <c r="W446" i="1"/>
  <c r="V448" i="1"/>
  <c r="V446" i="1"/>
  <c r="V20" i="4"/>
  <c r="U20" i="4"/>
  <c r="T20" i="4"/>
  <c r="T48" i="3"/>
  <c r="S48" i="3"/>
  <c r="S1006" i="2" l="1"/>
  <c r="S1002" i="2"/>
  <c r="N1002" i="2"/>
  <c r="R1001" i="2"/>
  <c r="R1002" i="2" s="1"/>
  <c r="S999" i="2" l="1"/>
  <c r="P999" i="2"/>
  <c r="O999" i="2"/>
  <c r="N999" i="2"/>
  <c r="R998" i="2"/>
  <c r="R997" i="2"/>
  <c r="R996" i="2"/>
  <c r="R995" i="2"/>
  <c r="R994" i="2"/>
  <c r="R999" i="2" l="1"/>
  <c r="N992" i="2"/>
  <c r="S992" i="2"/>
  <c r="R991" i="2"/>
  <c r="R992" i="2" s="1"/>
  <c r="O91" i="7"/>
  <c r="T446" i="1"/>
  <c r="T448" i="1"/>
  <c r="R20" i="4"/>
  <c r="N20" i="4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U446" i="1"/>
  <c r="R11" i="4"/>
  <c r="G28" i="5"/>
  <c r="N989" i="2"/>
  <c r="N965" i="2"/>
  <c r="R979" i="2"/>
  <c r="R988" i="2"/>
  <c r="R987" i="2"/>
  <c r="R986" i="2"/>
  <c r="R985" i="2"/>
  <c r="R984" i="2"/>
  <c r="S989" i="2"/>
  <c r="P989" i="2"/>
  <c r="O989" i="2"/>
  <c r="R983" i="2"/>
  <c r="R989" i="2" l="1"/>
  <c r="V305" i="2"/>
  <c r="U147" i="2"/>
  <c r="O82" i="7"/>
  <c r="W264" i="1"/>
  <c r="S9" i="5"/>
  <c r="O87" i="7"/>
  <c r="O74" i="7"/>
  <c r="O48" i="7"/>
  <c r="O31" i="7"/>
  <c r="O33" i="7" s="1"/>
  <c r="O50" i="7" s="1"/>
  <c r="O76" i="7" s="1"/>
  <c r="S8" i="7"/>
  <c r="O26" i="7"/>
  <c r="P93" i="5"/>
  <c r="P91" i="5"/>
  <c r="O981" i="2" l="1"/>
  <c r="P981" i="2"/>
  <c r="S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U442" i="1"/>
  <c r="T442" i="1"/>
  <c r="T441" i="1"/>
  <c r="T440" i="1"/>
  <c r="N13" i="8" l="1"/>
  <c r="S977" i="2" l="1"/>
  <c r="N977" i="2"/>
  <c r="R976" i="2"/>
  <c r="R977" i="2" s="1"/>
  <c r="U437" i="1"/>
  <c r="U433" i="1"/>
  <c r="P437" i="1"/>
  <c r="T436" i="1"/>
  <c r="T437" i="1" s="1"/>
  <c r="T432" i="1"/>
  <c r="T433" i="1" s="1"/>
  <c r="T429" i="1"/>
  <c r="P433" i="1"/>
  <c r="P82" i="7"/>
  <c r="M87" i="7"/>
  <c r="R13" i="8" l="1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U430" i="1" l="1"/>
  <c r="P430" i="1"/>
  <c r="S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R973" i="2"/>
  <c r="R972" i="2"/>
  <c r="R971" i="2"/>
  <c r="S1008" i="2" l="1"/>
  <c r="R974" i="2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Q13" i="8" l="1"/>
  <c r="C14" i="10" s="1"/>
  <c r="P381" i="1"/>
  <c r="P446" i="1" s="1"/>
  <c r="T381" i="1"/>
  <c r="AB4" i="1"/>
  <c r="AB441" i="1" s="1"/>
  <c r="V441" i="1" s="1"/>
  <c r="T4" i="9"/>
  <c r="Z5" i="8"/>
  <c r="W5" i="5"/>
  <c r="V5" i="7" s="1"/>
  <c r="V86" i="7" s="1"/>
  <c r="Q86" i="7" s="1"/>
  <c r="X4" i="4"/>
  <c r="Z5" i="6"/>
  <c r="Z4" i="2"/>
  <c r="Z1001" i="2" s="1"/>
  <c r="T1001" i="2" s="1"/>
  <c r="A3" i="10"/>
  <c r="A4" i="11"/>
  <c r="A3" i="9"/>
  <c r="A4" i="8"/>
  <c r="A3" i="2"/>
  <c r="A3" i="7"/>
  <c r="A4" i="5"/>
  <c r="A3" i="4"/>
  <c r="A4" i="6"/>
  <c r="H60" i="11"/>
  <c r="B22" i="10" s="1"/>
  <c r="U1001" i="2" l="1"/>
  <c r="U1002" i="2" s="1"/>
  <c r="T1002" i="2"/>
  <c r="V1001" i="2"/>
  <c r="V1002" i="2" s="1"/>
  <c r="Z991" i="2"/>
  <c r="T991" i="2" s="1"/>
  <c r="Z998" i="2"/>
  <c r="T998" i="2" s="1"/>
  <c r="Z996" i="2"/>
  <c r="T996" i="2" s="1"/>
  <c r="Z994" i="2"/>
  <c r="T994" i="2" s="1"/>
  <c r="Z997" i="2"/>
  <c r="T997" i="2" s="1"/>
  <c r="Z995" i="2"/>
  <c r="T995" i="2" s="1"/>
  <c r="U991" i="2"/>
  <c r="U992" i="2" s="1"/>
  <c r="V991" i="2"/>
  <c r="V992" i="2" s="1"/>
  <c r="T992" i="2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X441" i="1"/>
  <c r="W441" i="1"/>
  <c r="AB436" i="1"/>
  <c r="V436" i="1" s="1"/>
  <c r="V437" i="1" s="1"/>
  <c r="AB440" i="1"/>
  <c r="V440" i="1" s="1"/>
  <c r="V442" i="1" s="1"/>
  <c r="AB417" i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L7" i="9" s="1"/>
  <c r="X8" i="8"/>
  <c r="M80" i="7"/>
  <c r="O80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V13" i="4"/>
  <c r="R12" i="4"/>
  <c r="G12" i="4"/>
  <c r="G11" i="4"/>
  <c r="G10" i="4"/>
  <c r="G9" i="4"/>
  <c r="G8" i="4"/>
  <c r="G7" i="4"/>
  <c r="X7" i="4" s="1"/>
  <c r="X17" i="4"/>
  <c r="V994" i="2" l="1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W442" i="1" s="1"/>
  <c r="T11" i="8"/>
  <c r="S13" i="8"/>
  <c r="E14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18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S30" i="7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X8" i="4"/>
  <c r="X9" i="4"/>
  <c r="X10" i="4"/>
  <c r="X11" i="4"/>
  <c r="T11" i="4" s="1"/>
  <c r="V11" i="4" s="1"/>
  <c r="X12" i="4"/>
  <c r="T17" i="4"/>
  <c r="X16" i="4"/>
  <c r="U999" i="2" l="1"/>
  <c r="V999" i="2"/>
  <c r="U989" i="2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4" i="10"/>
  <c r="T8" i="6"/>
  <c r="T9" i="6" s="1"/>
  <c r="F8" i="10" s="1"/>
  <c r="V974" i="2"/>
  <c r="X418" i="1"/>
  <c r="U974" i="2"/>
  <c r="W418" i="1"/>
  <c r="T16" i="4"/>
  <c r="U16" i="4" s="1"/>
  <c r="U11" i="4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2" i="4"/>
  <c r="U12" i="4" s="1"/>
  <c r="D14" i="10"/>
  <c r="U8" i="8"/>
  <c r="P7" i="9"/>
  <c r="C19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65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U7" i="4"/>
  <c r="V7" i="4"/>
  <c r="U10" i="4"/>
  <c r="V17" i="4"/>
  <c r="U17" i="4"/>
  <c r="C11" i="10" l="1"/>
  <c r="S59" i="7"/>
  <c r="T85" i="5"/>
  <c r="T77" i="5"/>
  <c r="B12" i="10"/>
  <c r="S53" i="7"/>
  <c r="R78" i="7"/>
  <c r="S39" i="7"/>
  <c r="T18" i="4"/>
  <c r="V12" i="4"/>
  <c r="R47" i="7"/>
  <c r="S55" i="7"/>
  <c r="S63" i="7"/>
  <c r="G14" i="10"/>
  <c r="S43" i="7"/>
  <c r="S57" i="7"/>
  <c r="S81" i="5"/>
  <c r="V16" i="4"/>
  <c r="R79" i="7"/>
  <c r="S37" i="7"/>
  <c r="S69" i="7"/>
  <c r="Q80" i="7"/>
  <c r="S67" i="7"/>
  <c r="T52" i="5"/>
  <c r="D9" i="10"/>
  <c r="Q7" i="9"/>
  <c r="F19" i="10" s="1"/>
  <c r="R7" i="9"/>
  <c r="E19" i="10"/>
  <c r="S80" i="7"/>
  <c r="R58" i="7"/>
  <c r="S54" i="7"/>
  <c r="R54" i="7"/>
  <c r="R66" i="7"/>
  <c r="R72" i="7" s="1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E9" i="10" l="1"/>
  <c r="T65" i="5"/>
  <c r="T67" i="5" s="1"/>
  <c r="R80" i="7"/>
  <c r="R48" i="7"/>
  <c r="S48" i="7"/>
  <c r="S72" i="7"/>
  <c r="R67" i="5"/>
  <c r="S65" i="5"/>
  <c r="S67" i="5" s="1"/>
  <c r="U14" i="4"/>
  <c r="F9" i="10" s="1"/>
  <c r="V14" i="4"/>
  <c r="G9" i="10" s="1"/>
  <c r="D12" i="10"/>
  <c r="G19" i="10"/>
  <c r="Q74" i="7"/>
  <c r="S60" i="7"/>
  <c r="R60" i="7"/>
  <c r="R74" i="7" s="1"/>
  <c r="E11" i="10"/>
  <c r="T91" i="5"/>
  <c r="S91" i="5"/>
  <c r="F11" i="10" l="1"/>
  <c r="G11" i="10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V300" i="1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T10" i="3" s="1"/>
  <c r="S12" i="3"/>
  <c r="S19" i="3"/>
  <c r="S20" i="3"/>
  <c r="S21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T40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T24" i="2" s="1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W320" i="1" s="1"/>
  <c r="V332" i="1"/>
  <c r="V333" i="1"/>
  <c r="V334" i="1"/>
  <c r="X334" i="1" s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T13" i="3" l="1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Q48" i="3" s="1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1008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96" i="2"/>
  <c r="T90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V915" i="2" l="1"/>
  <c r="V841" i="2"/>
  <c r="U36" i="3"/>
  <c r="S31" i="3"/>
  <c r="S38" i="3" s="1"/>
  <c r="B10" i="10"/>
  <c r="P448" i="1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1008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V918" i="2" l="1"/>
  <c r="E7" i="10"/>
  <c r="W365" i="1"/>
  <c r="V367" i="1"/>
  <c r="X365" i="1"/>
  <c r="U904" i="2"/>
  <c r="U922" i="2"/>
  <c r="V900" i="2"/>
  <c r="V924" i="2" s="1"/>
  <c r="V948" i="2"/>
  <c r="V930" i="2"/>
  <c r="U913" i="2"/>
  <c r="T924" i="2"/>
  <c r="V411" i="2"/>
  <c r="C10" i="10"/>
  <c r="C13" i="10"/>
  <c r="V378" i="1"/>
  <c r="D10" i="10"/>
  <c r="D7" i="10"/>
  <c r="X275" i="1"/>
  <c r="X318" i="1" s="1"/>
  <c r="W275" i="1"/>
  <c r="W318" i="1" s="1"/>
  <c r="T38" i="3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U924" i="2" l="1"/>
  <c r="W367" i="1"/>
  <c r="W378" i="1" s="1"/>
  <c r="W448" i="1" s="1"/>
  <c r="X367" i="1"/>
  <c r="X378" i="1" s="1"/>
  <c r="X448" i="1" s="1"/>
  <c r="V967" i="2"/>
  <c r="V890" i="2"/>
  <c r="F7" i="10"/>
  <c r="E10" i="10"/>
  <c r="D13" i="10"/>
  <c r="D15" i="10" s="1"/>
  <c r="D29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1008" i="2" s="1"/>
  <c r="T771" i="2"/>
  <c r="T892" i="2" s="1"/>
  <c r="T926" i="2" s="1"/>
  <c r="T969" i="2" s="1"/>
  <c r="T1008" i="2" s="1"/>
  <c r="E13" i="10" l="1"/>
  <c r="F13" i="10"/>
  <c r="V771" i="2"/>
  <c r="V892" i="2" s="1"/>
  <c r="V926" i="2" s="1"/>
  <c r="V969" i="2" s="1"/>
  <c r="V1008" i="2" s="1"/>
  <c r="G13" i="10" l="1"/>
  <c r="R26" i="7" l="1"/>
  <c r="R33" i="7" s="1"/>
  <c r="R50" i="7" s="1"/>
  <c r="R76" i="7" s="1"/>
  <c r="R82" i="7" s="1"/>
  <c r="F12" i="10" s="1"/>
  <c r="F15" i="10" s="1"/>
  <c r="F29" i="10" s="1"/>
  <c r="Q26" i="7"/>
  <c r="Q33" i="7" s="1"/>
  <c r="Q50" i="7" s="1"/>
  <c r="Q76" i="7" s="1"/>
  <c r="Q82" i="7" s="1"/>
  <c r="S26" i="7"/>
  <c r="S33" i="7" s="1"/>
  <c r="S50" i="7" s="1"/>
  <c r="S76" i="7" s="1"/>
  <c r="S82" i="7" s="1"/>
  <c r="G12" i="10" s="1"/>
  <c r="G15" i="10" s="1"/>
  <c r="G29" i="10" s="1"/>
  <c r="E12" i="10" l="1"/>
  <c r="E15" i="10" s="1"/>
  <c r="E29" i="10" s="1"/>
  <c r="C12" i="10"/>
  <c r="C15" i="10" s="1"/>
  <c r="C29" i="10" s="1"/>
</calcChain>
</file>

<file path=xl/sharedStrings.xml><?xml version="1.0" encoding="utf-8"?>
<sst xmlns="http://schemas.openxmlformats.org/spreadsheetml/2006/main" count="9377" uniqueCount="2924">
  <si>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</si>
  <si>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</si>
  <si>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</si>
  <si>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</si>
  <si>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</si>
  <si>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</si>
  <si>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</si>
  <si>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</si>
  <si>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</si>
  <si>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</si>
  <si>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</si>
  <si>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</si>
  <si>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</si>
  <si>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</si>
  <si>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</si>
  <si>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</si>
  <si>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</si>
  <si>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</si>
  <si>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</si>
  <si>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</si>
  <si>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</si>
  <si>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</si>
  <si>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</si>
  <si>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</si>
  <si>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</si>
  <si>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</si>
  <si>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</si>
  <si>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</si>
  <si>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</si>
  <si>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</si>
  <si>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</si>
  <si>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</si>
  <si>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</si>
  <si>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</si>
  <si>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</si>
  <si>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</si>
  <si>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</si>
  <si>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</si>
  <si>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</si>
  <si>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</si>
  <si>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</si>
  <si>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</si>
  <si>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</si>
  <si>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</si>
  <si>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</si>
  <si>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</si>
  <si>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</si>
  <si>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</si>
  <si>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</si>
  <si>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</si>
  <si>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</si>
  <si>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</si>
  <si>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</si>
  <si>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</si>
  <si>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</si>
  <si>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</si>
  <si>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</si>
  <si>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</si>
  <si>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</si>
  <si>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</si>
  <si>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</si>
  <si>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</si>
  <si>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</si>
  <si>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</si>
  <si>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</si>
  <si>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</si>
  <si>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</si>
  <si>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</si>
  <si>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</si>
  <si>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</si>
  <si>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</si>
  <si>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</si>
  <si>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</si>
  <si>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</si>
  <si>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</si>
  <si>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</si>
  <si>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</si>
  <si>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</si>
  <si>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</si>
  <si>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</si>
  <si>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</si>
  <si>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</si>
  <si>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</si>
  <si>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</si>
  <si>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</si>
  <si>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</si>
  <si>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</si>
  <si>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</si>
  <si>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</si>
  <si>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</si>
  <si>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</si>
  <si>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</si>
  <si>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</si>
  <si>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</si>
  <si>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</si>
  <si>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</si>
  <si>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</si>
  <si>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</si>
  <si>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</si>
  <si>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</si>
  <si>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</si>
  <si>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</si>
  <si>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</si>
  <si>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</si>
  <si>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</si>
  <si>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</si>
  <si>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</si>
  <si>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</si>
  <si>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</si>
  <si>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</si>
  <si>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</si>
  <si>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</si>
  <si>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</si>
  <si>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</si>
  <si>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</si>
  <si>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</si>
  <si>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</si>
  <si>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</si>
  <si>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</si>
  <si>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</si>
  <si>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</si>
  <si>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</si>
  <si>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</si>
  <si>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</si>
  <si>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</si>
  <si>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</si>
  <si>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</si>
  <si>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</si>
  <si>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</si>
  <si>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</si>
  <si>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</si>
  <si>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</si>
  <si>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</si>
  <si>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</si>
  <si>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</si>
  <si>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</si>
  <si>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</si>
  <si>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</si>
  <si>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</si>
  <si>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</si>
  <si>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</si>
  <si>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</si>
  <si>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</si>
  <si>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</si>
  <si>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</si>
  <si>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</si>
  <si>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</si>
  <si>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</si>
  <si>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</si>
  <si>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</si>
  <si>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</si>
  <si>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</si>
  <si>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</si>
  <si>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</si>
  <si>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</si>
  <si>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</si>
  <si>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</si>
  <si>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</si>
  <si>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</si>
  <si>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</si>
  <si>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</si>
  <si>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</si>
  <si>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</si>
  <si>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</si>
  <si>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</si>
  <si>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</si>
  <si>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</si>
  <si>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</si>
  <si>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</si>
  <si>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</si>
  <si>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</si>
  <si>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</si>
  <si>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</si>
  <si>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</si>
  <si>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</si>
  <si>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</si>
  <si>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</si>
  <si>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</si>
  <si>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</si>
  <si>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</si>
  <si>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</si>
  <si>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</si>
  <si>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</si>
  <si>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</si>
  <si>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</si>
  <si>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</si>
  <si>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</si>
  <si>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</si>
  <si>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</si>
  <si>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</si>
  <si>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</si>
  <si>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</si>
  <si>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</si>
  <si>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</si>
  <si>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</si>
  <si>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</si>
  <si>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</si>
  <si>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</si>
  <si>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</si>
  <si>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</si>
  <si>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</si>
  <si>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</si>
  <si>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</si>
  <si>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</si>
  <si>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</si>
  <si>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</si>
  <si>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</si>
  <si>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</si>
  <si>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</si>
  <si>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</si>
  <si>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</si>
  <si>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</si>
  <si>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</si>
  <si>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</si>
  <si>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</si>
  <si>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</si>
  <si>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</si>
  <si>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</si>
  <si>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</si>
  <si>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</si>
  <si>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</si>
  <si>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</si>
  <si>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</si>
  <si>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</si>
  <si>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</si>
  <si>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</si>
  <si>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</si>
  <si>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</si>
  <si>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</si>
  <si>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</si>
  <si>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</si>
  <si>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</si>
  <si>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</si>
  <si>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</si>
  <si>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</si>
  <si>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</si>
  <si>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</si>
  <si>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</si>
  <si>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</si>
  <si>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</si>
  <si>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</si>
  <si>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</si>
  <si>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</si>
  <si>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</si>
  <si>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</si>
  <si>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</si>
  <si>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</si>
  <si>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</si>
  <si>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</si>
  <si>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</si>
  <si>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</si>
  <si>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</si>
  <si>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</si>
  <si>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</si>
  <si>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</si>
  <si>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</si>
  <si>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</si>
  <si>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</si>
  <si>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</si>
  <si>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</si>
  <si>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</si>
  <si>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</si>
  <si>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</si>
  <si>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</si>
  <si>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</si>
  <si>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</si>
  <si>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</si>
  <si>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</si>
  <si>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</si>
  <si>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</si>
  <si>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</si>
  <si>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</si>
  <si>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</si>
  <si>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</si>
  <si>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</si>
  <si>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</si>
  <si>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</si>
  <si>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</si>
  <si>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</si>
  <si>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</si>
  <si>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</si>
  <si>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</si>
  <si>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</si>
  <si>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</si>
  <si>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</si>
  <si>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</si>
  <si>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</si>
  <si>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</si>
  <si>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</si>
  <si>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</si>
  <si>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</si>
  <si>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</si>
  <si>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</si>
  <si>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</si>
  <si>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</si>
  <si>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</si>
  <si>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</si>
  <si>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</si>
  <si>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</si>
  <si>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</si>
  <si>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</si>
  <si>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</si>
  <si>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</si>
  <si>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</si>
  <si>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</si>
  <si>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</si>
  <si>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</si>
  <si>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</si>
  <si>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</si>
  <si>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</si>
  <si>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</si>
  <si>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</si>
  <si>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</si>
  <si>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</si>
  <si>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</si>
  <si>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</si>
  <si>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</si>
  <si>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</si>
  <si>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</si>
  <si>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</si>
  <si>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</si>
  <si>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</si>
  <si>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</si>
  <si>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</si>
  <si>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</si>
  <si>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</si>
  <si>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</si>
  <si>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</si>
  <si>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</si>
  <si>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</si>
  <si>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</si>
  <si>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</si>
  <si>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</si>
  <si>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</si>
  <si>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</si>
  <si>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</si>
  <si>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</si>
  <si>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</si>
  <si>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</si>
  <si>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</si>
  <si>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</si>
  <si>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</si>
  <si>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</si>
  <si>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</si>
  <si>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</si>
  <si>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</si>
  <si>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</si>
  <si>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</si>
  <si>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</si>
  <si>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</si>
  <si>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</si>
  <si>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</si>
  <si>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</si>
  <si>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</si>
  <si>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</si>
  <si>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</si>
  <si>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</si>
  <si>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</si>
  <si>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</si>
  <si>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</si>
  <si>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</si>
  <si>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</si>
  <si>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</si>
  <si>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</si>
  <si>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</si>
  <si>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</si>
  <si>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</si>
  <si>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</si>
  <si>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</si>
  <si>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</si>
  <si>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</si>
  <si>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</si>
  <si>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</si>
  <si>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</si>
  <si>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</si>
  <si>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</si>
  <si>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</si>
  <si>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</si>
  <si>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</si>
  <si>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</si>
  <si>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</si>
  <si>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</si>
  <si>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</si>
  <si>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</si>
  <si>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</si>
  <si>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</si>
  <si>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</si>
  <si>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</si>
  <si>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</si>
  <si>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</si>
  <si>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</si>
  <si>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</si>
  <si>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</si>
  <si>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</si>
  <si>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</si>
  <si>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</si>
  <si>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</si>
  <si>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</si>
  <si>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</si>
  <si>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</si>
  <si>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</si>
  <si>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</si>
  <si>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</si>
  <si>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</si>
  <si>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</si>
  <si>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</si>
  <si>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</si>
  <si>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</si>
  <si>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</si>
  <si>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</si>
  <si>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</si>
  <si>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</si>
  <si>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</si>
  <si>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</si>
  <si>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</si>
  <si>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</si>
  <si>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</si>
  <si>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</si>
  <si>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</si>
  <si>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</si>
  <si>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</si>
  <si>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</si>
  <si>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</si>
  <si>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</si>
  <si>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</si>
  <si>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</si>
  <si>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</si>
  <si>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</si>
  <si>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</si>
  <si>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</si>
  <si>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</si>
  <si>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</si>
  <si>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</si>
  <si>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</si>
  <si>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</si>
  <si>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</si>
  <si>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</si>
  <si>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</si>
  <si>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</si>
  <si>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</si>
  <si>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</si>
  <si>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</si>
  <si>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</si>
  <si>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</si>
  <si>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</si>
  <si>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</si>
  <si>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</si>
  <si>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</si>
  <si>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</si>
  <si>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</si>
  <si>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</si>
  <si>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</si>
  <si>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</si>
  <si>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</si>
  <si>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</si>
  <si>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</si>
  <si>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</si>
  <si>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</si>
  <si>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</si>
  <si>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</si>
  <si>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</si>
  <si>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</si>
  <si>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</si>
  <si>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</si>
  <si>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</si>
  <si>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</si>
  <si>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</si>
  <si>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</si>
  <si>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</si>
  <si>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</si>
  <si>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</si>
  <si>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</si>
  <si>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</si>
  <si>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</si>
  <si>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</si>
  <si>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</si>
  <si>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</si>
  <si>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</si>
  <si>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</si>
  <si>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</si>
  <si>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</si>
  <si>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</si>
  <si>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</si>
  <si>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</si>
  <si>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</si>
  <si>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</si>
  <si>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</si>
  <si>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</si>
  <si>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</si>
  <si>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</si>
  <si>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</si>
  <si>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</si>
  <si>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</si>
  <si>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</si>
  <si>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</si>
  <si>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</si>
  <si>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</si>
  <si>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</si>
  <si>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</si>
  <si>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</si>
  <si>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</si>
  <si>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</si>
  <si>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</si>
  <si>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</si>
  <si>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</si>
  <si>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</si>
  <si>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</si>
  <si>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</si>
  <si>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</si>
  <si>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</si>
  <si>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</si>
  <si>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</si>
  <si>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</si>
  <si>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</si>
  <si>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</si>
  <si>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</si>
  <si>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</si>
  <si>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</si>
  <si>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</si>
  <si>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</si>
  <si>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</si>
  <si>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</si>
  <si>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</si>
  <si>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</si>
  <si>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</si>
  <si>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</si>
  <si>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</si>
  <si>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</si>
  <si>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</si>
  <si>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</si>
  <si>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</si>
  <si>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</si>
  <si>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</si>
  <si>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</si>
  <si>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</si>
  <si>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</si>
  <si>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</si>
  <si>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</si>
  <si>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</si>
  <si>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</si>
  <si>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</si>
  <si>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</si>
  <si>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</si>
  <si>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</si>
  <si>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</si>
  <si>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</si>
  <si>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</si>
  <si>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</si>
  <si>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</si>
  <si>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</si>
  <si>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</si>
  <si>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</si>
  <si>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</si>
  <si>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</si>
  <si>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</si>
  <si>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</si>
  <si>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</si>
  <si>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</si>
  <si>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</si>
  <si>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</si>
  <si>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</si>
  <si>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</si>
  <si>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</si>
  <si>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</si>
  <si>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</si>
  <si>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</si>
  <si>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</si>
  <si>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</si>
  <si>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</si>
  <si>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</si>
  <si>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</si>
  <si>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</si>
  <si>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</si>
  <si>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</si>
  <si>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</si>
  <si>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</si>
  <si>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</si>
  <si>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</si>
  <si>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</si>
  <si>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</si>
  <si>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</si>
  <si>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</si>
  <si>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</si>
  <si>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</si>
  <si>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</si>
  <si>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</si>
  <si>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</si>
  <si>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</si>
  <si>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</si>
  <si>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</si>
  <si>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</si>
  <si>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</si>
  <si>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</si>
  <si>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</si>
  <si>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</si>
  <si>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</si>
  <si>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</si>
  <si>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</si>
  <si>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</si>
  <si>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</si>
  <si>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</si>
  <si>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</si>
  <si>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</si>
  <si>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</si>
  <si>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</si>
  <si>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</si>
  <si>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</si>
  <si>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</si>
  <si>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</si>
  <si>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</si>
  <si>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</si>
  <si>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</si>
  <si>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</si>
  <si>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</si>
  <si>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</si>
  <si>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</si>
  <si>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</si>
  <si>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</si>
  <si>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</si>
  <si>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</si>
  <si>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</si>
  <si>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</si>
  <si>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</si>
  <si>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</si>
  <si>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</si>
  <si>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</si>
  <si>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</si>
  <si>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</si>
  <si>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</si>
  <si>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</si>
  <si>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</si>
  <si>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</si>
  <si>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</si>
  <si>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</si>
  <si>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</si>
  <si>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</si>
  <si>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</si>
  <si>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</si>
  <si>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</si>
  <si>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</si>
  <si>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</si>
  <si>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</si>
  <si>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</si>
  <si>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</si>
  <si>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</si>
  <si>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</si>
  <si>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</si>
  <si>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</si>
  <si>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</si>
  <si>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</si>
  <si>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</si>
  <si>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</si>
  <si>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</si>
  <si>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</si>
  <si>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</si>
  <si>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</si>
  <si>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</si>
  <si>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</si>
  <si>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</si>
  <si>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</si>
  <si>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</si>
  <si>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</si>
  <si>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</si>
  <si>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</si>
  <si>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</si>
  <si>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</si>
  <si>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</si>
  <si>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</si>
  <si>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</si>
  <si>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</si>
  <si>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</si>
  <si>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</si>
  <si>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</si>
  <si>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</si>
  <si>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</si>
  <si>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</si>
  <si>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</si>
  <si>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</si>
  <si>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</si>
  <si>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</si>
  <si>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</si>
  <si>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</si>
  <si>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</si>
  <si>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</si>
  <si>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</si>
  <si>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</si>
  <si>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</si>
  <si>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</si>
  <si>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</si>
  <si>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</si>
  <si>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</si>
  <si>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</si>
  <si>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</si>
  <si>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</si>
  <si>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</si>
  <si>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</si>
  <si>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</si>
  <si>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</si>
  <si>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</si>
  <si>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</si>
  <si>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</si>
  <si>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</si>
  <si>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</si>
  <si>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</si>
  <si>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</si>
  <si>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</si>
  <si>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</si>
  <si>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</si>
  <si>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</si>
  <si>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</si>
  <si>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</si>
  <si>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</si>
  <si>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</si>
  <si>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</si>
  <si>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</si>
  <si>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</si>
  <si>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</si>
  <si>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</si>
  <si>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</si>
  <si>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</si>
  <si>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</si>
  <si>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</si>
  <si>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</si>
  <si>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</si>
  <si>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</si>
  <si>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</si>
  <si>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</si>
  <si>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</si>
  <si>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</si>
  <si>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</si>
  <si>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</si>
  <si>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</si>
  <si>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</si>
  <si>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</si>
  <si>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</si>
  <si>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</si>
  <si>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</si>
  <si>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</si>
  <si>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</si>
  <si>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</si>
  <si>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</si>
  <si>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</si>
  <si>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</si>
  <si>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</si>
  <si>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</si>
  <si>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</si>
  <si>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</si>
  <si>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</si>
  <si>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</si>
  <si>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</si>
  <si>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</si>
  <si>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</si>
  <si>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</si>
  <si>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</si>
  <si>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</si>
  <si>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</si>
  <si>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</si>
  <si>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</si>
  <si>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</si>
  <si>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</si>
  <si>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</si>
  <si>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</si>
  <si>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</si>
  <si>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</si>
  <si>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</si>
  <si>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</si>
  <si>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</si>
  <si>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</si>
  <si>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</si>
  <si>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</si>
  <si>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</si>
  <si>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</si>
  <si>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</si>
  <si>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</si>
  <si>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</si>
  <si>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</si>
  <si>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</si>
  <si>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</si>
  <si>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</si>
  <si>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</si>
  <si>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</si>
  <si>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</si>
  <si>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</si>
  <si>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</si>
  <si>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</si>
  <si>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</si>
  <si>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</si>
  <si>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</si>
  <si>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</si>
  <si>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</si>
  <si>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</si>
  <si>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</si>
  <si>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</si>
  <si>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</si>
  <si>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</si>
  <si>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</si>
  <si>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</si>
  <si>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</si>
  <si>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</si>
  <si>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</si>
  <si>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</si>
  <si>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</si>
  <si>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</si>
  <si>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</si>
  <si>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</si>
  <si>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</si>
  <si>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</si>
  <si>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</si>
  <si>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</si>
  <si>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</si>
  <si>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</si>
  <si>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</si>
  <si>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</si>
  <si>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</si>
  <si>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</si>
  <si>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</si>
  <si>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</si>
  <si>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</si>
  <si>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</si>
  <si>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</si>
  <si>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</si>
  <si>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</si>
  <si>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</si>
  <si>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</si>
  <si>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</si>
  <si>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</si>
  <si>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</si>
  <si>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</si>
  <si>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</si>
  <si>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</si>
  <si>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</si>
  <si>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</si>
  <si>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</si>
  <si>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</si>
  <si>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</si>
  <si>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</si>
  <si>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</si>
  <si>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</si>
  <si>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</si>
  <si>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</si>
  <si>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</si>
  <si>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</si>
  <si>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</si>
  <si>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</si>
  <si>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</si>
  <si>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</si>
  <si>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</si>
  <si>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</si>
  <si>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</si>
  <si>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</si>
  <si>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</si>
  <si>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</si>
  <si>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</si>
  <si>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</si>
  <si>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</si>
  <si>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</si>
  <si>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</si>
  <si>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</si>
  <si>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</si>
  <si>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</si>
  <si>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</si>
  <si>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</si>
  <si>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</si>
  <si>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</si>
  <si>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</si>
  <si>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</si>
  <si>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</si>
  <si>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</si>
  <si>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</si>
  <si>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</si>
  <si>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</si>
  <si>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</si>
  <si>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</si>
  <si>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</si>
  <si>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</si>
  <si>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</si>
  <si>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</si>
  <si>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</si>
  <si>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</si>
  <si>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</si>
  <si>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</si>
  <si>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</si>
  <si>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</si>
  <si>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</si>
  <si>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</si>
  <si>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</si>
  <si>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</si>
  <si>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</si>
  <si>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</si>
  <si>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</si>
  <si>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</si>
  <si>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</si>
  <si>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</si>
  <si>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</si>
  <si>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</si>
  <si>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</si>
  <si>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</si>
  <si>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</si>
  <si>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</si>
  <si>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</si>
  <si>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</si>
  <si>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</si>
  <si>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</si>
  <si>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</si>
  <si>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</si>
  <si>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</si>
  <si>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</si>
  <si>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</si>
  <si>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</si>
  <si>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</si>
  <si>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</si>
  <si>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</si>
  <si>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</si>
  <si>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</si>
  <si>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</si>
  <si>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</si>
  <si>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</si>
  <si>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</si>
  <si>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</si>
  <si>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</si>
  <si>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</si>
  <si>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</si>
  <si>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</si>
  <si>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</si>
  <si>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</si>
  <si>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</si>
  <si>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</si>
  <si>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</si>
  <si>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</si>
  <si>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</si>
  <si>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</si>
  <si>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</si>
  <si>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</si>
  <si>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</si>
  <si>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</si>
  <si>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</si>
  <si>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</si>
  <si>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</si>
  <si>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</si>
  <si>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</si>
  <si>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</si>
  <si>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</si>
  <si>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</si>
  <si>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</si>
  <si>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</si>
  <si>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</si>
  <si>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</si>
  <si>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</si>
  <si>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</si>
  <si>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</si>
  <si>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</si>
  <si>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</si>
  <si>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</si>
  <si>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</si>
  <si>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</si>
  <si>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</si>
  <si>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</si>
  <si>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</si>
  <si>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</si>
  <si>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</si>
  <si>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</si>
  <si>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</si>
  <si>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</si>
  <si>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</si>
  <si>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</si>
  <si>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</si>
  <si>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</si>
  <si>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</si>
  <si>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</si>
  <si>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</si>
  <si>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</si>
  <si>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</si>
  <si>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</si>
  <si>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</si>
  <si>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</si>
  <si>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</si>
  <si>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</si>
  <si>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</si>
  <si>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</si>
  <si>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</si>
  <si>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</si>
  <si>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</si>
  <si>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</si>
  <si>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</si>
  <si>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</si>
  <si>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</si>
  <si>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</si>
  <si>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</si>
  <si>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</si>
  <si>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</si>
  <si>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</si>
  <si>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</si>
  <si>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</si>
  <si>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</si>
  <si>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</si>
  <si>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</si>
  <si>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</si>
  <si>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</si>
  <si>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</si>
  <si>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</si>
  <si>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</si>
  <si>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</si>
  <si>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</si>
  <si>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</si>
  <si>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</si>
  <si>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</si>
  <si>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</si>
  <si>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</si>
  <si>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</si>
  <si>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</si>
  <si>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</si>
  <si>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</si>
  <si>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</si>
  <si>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</si>
  <si>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</si>
  <si>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</si>
  <si>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</si>
  <si>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</si>
  <si>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</si>
  <si>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</si>
  <si>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</si>
  <si>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</si>
  <si>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</si>
  <si>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</si>
  <si>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</si>
  <si>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</si>
  <si>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</si>
  <si>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</si>
  <si>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</si>
  <si>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</si>
  <si>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</si>
  <si>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</si>
  <si>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</si>
  <si>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</si>
  <si>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</si>
  <si>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</si>
  <si>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</si>
  <si>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</si>
  <si>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</si>
  <si>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</si>
  <si>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</si>
  <si>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</si>
  <si>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</si>
  <si>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</si>
  <si>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</si>
  <si>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</si>
  <si>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</si>
  <si>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</si>
  <si>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</si>
  <si>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</si>
  <si>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</si>
  <si>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</si>
  <si>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</si>
  <si>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</si>
  <si>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</si>
  <si>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</si>
  <si>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</si>
  <si>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</si>
  <si>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</si>
  <si>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</si>
  <si>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</si>
  <si>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</si>
  <si>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</si>
  <si>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</si>
  <si>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</si>
  <si>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</si>
  <si>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</si>
  <si>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</si>
  <si>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</si>
  <si>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</si>
  <si>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</si>
  <si>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</si>
  <si>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</si>
  <si>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</si>
  <si>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</si>
  <si>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</si>
  <si>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</si>
  <si>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</si>
  <si>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</si>
  <si>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</si>
  <si>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</si>
  <si>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</si>
  <si>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</si>
  <si>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</si>
  <si>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</si>
  <si>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</si>
  <si>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</si>
  <si>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</si>
  <si>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</si>
  <si>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</si>
  <si>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</si>
  <si>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</si>
  <si>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</si>
  <si>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</si>
  <si>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</si>
  <si>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</si>
  <si>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</si>
  <si>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</si>
  <si>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</si>
  <si>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</si>
  <si>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</si>
  <si>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</si>
  <si>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</si>
  <si>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</si>
  <si>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</si>
  <si>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</si>
  <si>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</si>
  <si>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</si>
  <si>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</si>
  <si>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</si>
  <si>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</si>
  <si>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</si>
  <si>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</si>
  <si>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</si>
  <si>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</si>
  <si>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</si>
  <si>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</si>
  <si>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</si>
  <si>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</si>
  <si>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</si>
  <si>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</si>
  <si>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</si>
  <si>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</si>
  <si>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</si>
  <si>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</si>
  <si>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</si>
  <si>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</si>
  <si>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</si>
  <si>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</si>
  <si>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</si>
  <si>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</si>
  <si>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</si>
  <si>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</si>
  <si>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</si>
  <si>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</si>
  <si>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</si>
  <si>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</si>
  <si>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</si>
  <si>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</si>
  <si>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</si>
  <si>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</si>
  <si>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</si>
  <si>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</si>
  <si>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</si>
  <si>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</si>
  <si>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</si>
  <si>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</si>
  <si>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</si>
  <si>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</si>
  <si>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</si>
  <si>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</si>
  <si>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</si>
  <si>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</si>
  <si>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</si>
  <si>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</si>
  <si>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</si>
  <si>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</si>
  <si>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</si>
  <si>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</si>
  <si>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</si>
  <si>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</si>
  <si>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</si>
  <si>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</si>
  <si>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</si>
  <si>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</si>
  <si>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</si>
  <si>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</si>
  <si>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</si>
  <si>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</si>
  <si>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</si>
  <si>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</si>
  <si>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</si>
  <si>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</si>
  <si>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</si>
  <si>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</si>
  <si>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</si>
  <si>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</si>
  <si>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</si>
  <si>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</si>
  <si>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</si>
  <si>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</si>
  <si>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</si>
  <si>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</si>
  <si>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</si>
  <si>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</si>
  <si>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</si>
  <si>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</si>
  <si>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</si>
  <si>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</si>
  <si>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</si>
  <si>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</si>
  <si>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</si>
  <si>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</si>
  <si>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</si>
  <si>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</si>
  <si>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</si>
  <si>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</si>
  <si>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</si>
  <si>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</si>
  <si>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</si>
  <si>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</si>
  <si>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</si>
  <si>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</si>
  <si>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</si>
  <si>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</si>
  <si>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</si>
  <si>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</si>
  <si>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</si>
  <si>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</si>
  <si>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</si>
  <si>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</si>
  <si>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</si>
  <si>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</si>
  <si>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</si>
  <si>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</si>
  <si>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</si>
  <si>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</si>
  <si>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</si>
  <si>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</si>
  <si>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</si>
  <si>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</si>
  <si>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</si>
  <si>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</si>
  <si>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</si>
  <si>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</si>
  <si>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</si>
  <si>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</si>
  <si>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</si>
  <si>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</si>
  <si>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</si>
  <si>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</si>
  <si>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</si>
  <si>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</si>
  <si>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</si>
  <si>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</si>
  <si>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</si>
  <si>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</si>
  <si>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</si>
  <si>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</si>
  <si>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</si>
  <si>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</si>
  <si>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</si>
  <si>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</si>
  <si>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</si>
  <si>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</si>
  <si>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</si>
  <si>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</si>
  <si>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</si>
  <si>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</si>
  <si>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</si>
  <si>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</si>
  <si>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</si>
  <si>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</si>
  <si>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</si>
  <si>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</si>
  <si>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</si>
  <si>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</si>
  <si>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</si>
  <si>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</si>
  <si>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</si>
  <si>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</si>
  <si>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</si>
  <si>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</si>
  <si>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</si>
  <si>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</si>
  <si>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</si>
  <si>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</si>
  <si>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</si>
  <si>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</si>
  <si>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</si>
  <si>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</si>
  <si>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</si>
  <si>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</si>
  <si>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</si>
  <si>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</si>
  <si>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</si>
  <si>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</si>
  <si>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</si>
  <si>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</si>
  <si>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</si>
  <si>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</si>
  <si>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</si>
  <si>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</si>
  <si>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</si>
  <si>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</si>
  <si>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</si>
  <si>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</si>
  <si>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</si>
  <si>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</si>
  <si>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</si>
  <si>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</si>
  <si>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</si>
  <si>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</si>
  <si>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</si>
  <si>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</si>
  <si>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</si>
  <si>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</si>
  <si>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</si>
  <si>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</si>
  <si>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</si>
  <si>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</si>
  <si>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</si>
  <si>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</si>
  <si>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</si>
  <si>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</si>
  <si>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</si>
  <si>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</si>
  <si>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</si>
  <si>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</si>
  <si>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</si>
  <si>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</si>
  <si>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</si>
  <si>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</si>
  <si>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</si>
  <si>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</si>
  <si>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</si>
  <si>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</si>
  <si>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</si>
  <si>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</si>
  <si>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</si>
  <si>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</si>
  <si>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</si>
  <si>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</si>
  <si>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</si>
  <si>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</si>
  <si>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</si>
  <si>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</si>
  <si>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</si>
  <si>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</si>
  <si>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</si>
  <si>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</si>
  <si>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</si>
  <si>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</si>
  <si>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</si>
  <si>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</si>
  <si>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</si>
  <si>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</si>
  <si>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</si>
  <si>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</si>
  <si>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</si>
  <si>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</si>
  <si>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</si>
  <si>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</si>
  <si>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</si>
  <si>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</si>
  <si>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</si>
  <si>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</si>
  <si>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</si>
  <si>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</si>
  <si>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</si>
  <si>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</si>
  <si>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</si>
  <si>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</si>
  <si>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</si>
  <si>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</si>
  <si>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</si>
  <si>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</si>
  <si>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</si>
  <si>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</si>
  <si>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</si>
  <si>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</si>
  <si>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</si>
  <si>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</si>
  <si>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</si>
  <si>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</si>
  <si>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</si>
  <si>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</si>
  <si>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</si>
  <si>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</si>
  <si>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</si>
  <si>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</si>
  <si>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</si>
  <si>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</si>
  <si>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</si>
  <si>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</si>
  <si>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</si>
  <si>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</si>
  <si>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</si>
  <si>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</si>
  <si>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</si>
  <si>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</si>
  <si>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</si>
  <si>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</si>
  <si>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</si>
  <si>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</si>
  <si>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</si>
  <si>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</si>
  <si>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</si>
  <si>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</si>
  <si>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</si>
  <si>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</si>
  <si>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</si>
  <si>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</si>
  <si>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</si>
  <si>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</si>
  <si>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</si>
  <si>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</si>
  <si>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</si>
  <si>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</si>
  <si>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</si>
  <si>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</si>
  <si>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</si>
  <si>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</si>
  <si>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</si>
  <si>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</si>
  <si>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</si>
  <si>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</si>
  <si>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</si>
  <si>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</si>
  <si>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</si>
  <si>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</si>
  <si>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</si>
  <si>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</si>
  <si>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</si>
  <si>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</si>
  <si>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</si>
  <si>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</si>
  <si>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</si>
  <si>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</si>
  <si>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</si>
  <si>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</si>
  <si>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</si>
  <si>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</si>
  <si>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</si>
  <si>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</si>
  <si>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</si>
  <si>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</si>
  <si>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</si>
  <si>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</si>
  <si>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</si>
  <si>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</si>
  <si>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</si>
  <si>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</si>
  <si>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</si>
  <si>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</si>
  <si>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</si>
  <si>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</si>
  <si>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</si>
  <si>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</si>
  <si>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</si>
  <si>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</si>
  <si>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</si>
  <si>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</si>
  <si>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</si>
  <si>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</si>
  <si>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</si>
  <si>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</si>
  <si>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</si>
  <si>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</si>
  <si>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</si>
  <si>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</si>
  <si>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</si>
  <si>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</si>
  <si>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</si>
  <si>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</si>
  <si>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</si>
  <si>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</si>
  <si>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</si>
  <si>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</si>
  <si>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</si>
  <si>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</si>
  <si>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</si>
  <si>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</si>
  <si>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</si>
  <si>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</si>
  <si>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</si>
  <si>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</si>
  <si>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</si>
  <si>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</si>
  <si>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</si>
  <si>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</si>
  <si>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</si>
  <si>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</si>
  <si>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</si>
  <si>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</si>
  <si>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</si>
  <si>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</si>
  <si>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</si>
  <si>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</si>
  <si>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</si>
  <si>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</si>
  <si>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</si>
  <si>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</si>
  <si>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</si>
  <si>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</si>
  <si>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</si>
  <si>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</si>
  <si>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</si>
  <si>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</si>
  <si>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</si>
  <si>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</si>
  <si>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</si>
  <si>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</si>
  <si>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</si>
  <si>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</si>
  <si>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</si>
  <si>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</si>
  <si>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</si>
  <si>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</si>
  <si>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</si>
  <si>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</si>
  <si>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</si>
  <si>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</si>
  <si>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</si>
  <si>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</si>
  <si>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</si>
  <si>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</si>
  <si>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</si>
  <si>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</si>
  <si>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</si>
  <si>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</si>
  <si>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</si>
  <si>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</si>
  <si>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</si>
  <si>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</si>
  <si>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</si>
  <si>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</si>
  <si>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</si>
  <si>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</si>
  <si>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</si>
  <si>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</si>
  <si>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</si>
  <si>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</si>
  <si>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</si>
  <si>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</si>
  <si>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</si>
  <si>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</si>
  <si>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</si>
  <si>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</si>
  <si>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</si>
  <si>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</si>
  <si>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</si>
  <si>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</si>
  <si>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</si>
  <si>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</si>
  <si>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</si>
  <si>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</si>
  <si>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</si>
  <si>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</si>
  <si>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</si>
  <si>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</si>
  <si>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</si>
  <si>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</si>
  <si>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</si>
  <si>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</si>
  <si>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</si>
  <si>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</si>
  <si>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</si>
  <si>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</si>
  <si>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</si>
  <si>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</si>
  <si>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</si>
  <si>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</si>
  <si>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</si>
  <si>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</si>
  <si>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</si>
  <si>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</si>
  <si>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</si>
  <si>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</si>
  <si>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</si>
  <si>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</si>
  <si>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</si>
  <si>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</si>
  <si>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</si>
  <si>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</si>
  <si>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</si>
  <si>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</si>
  <si>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</si>
  <si>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</si>
  <si>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</si>
  <si>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</si>
  <si>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</si>
  <si>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</si>
  <si>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</si>
  <si>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</si>
  <si>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</si>
  <si>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</si>
  <si>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</si>
  <si>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</si>
  <si>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</si>
  <si>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</si>
  <si>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</si>
  <si>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</si>
  <si>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</si>
  <si>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</si>
  <si>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</si>
  <si>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</si>
  <si>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</si>
  <si>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</si>
  <si>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</si>
  <si>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</si>
  <si>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</si>
  <si>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</si>
  <si>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</si>
  <si>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</si>
  <si>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</si>
  <si>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</si>
  <si>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</si>
  <si>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</si>
  <si>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</si>
  <si>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</si>
  <si>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</si>
  <si>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</si>
  <si>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</si>
  <si>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</si>
  <si>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</si>
  <si>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</si>
  <si>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</si>
  <si>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</si>
  <si>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</si>
  <si>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</si>
  <si>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</si>
  <si>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</si>
  <si>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</si>
  <si>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</si>
  <si>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</si>
  <si>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</si>
  <si>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</si>
  <si>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</si>
  <si>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</si>
  <si>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</si>
  <si>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</si>
  <si>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</si>
  <si>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</si>
  <si>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</si>
  <si>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</si>
  <si>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</si>
  <si>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</si>
  <si>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</si>
  <si>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</si>
  <si>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</si>
  <si>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</si>
  <si>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</si>
  <si>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</si>
  <si>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</si>
  <si>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</si>
  <si>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</si>
  <si>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</si>
  <si>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</si>
  <si>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</si>
  <si>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</si>
  <si>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</si>
  <si>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</si>
  <si>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</si>
  <si>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</si>
  <si>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</si>
  <si>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</si>
  <si>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</si>
  <si>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</si>
  <si>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</si>
  <si>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</si>
  <si>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</si>
  <si>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</si>
  <si>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</si>
  <si>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</si>
  <si>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</si>
  <si>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</si>
  <si>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</si>
  <si>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</si>
  <si>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</si>
  <si>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</si>
  <si>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</si>
  <si>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</si>
  <si>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</si>
  <si>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</si>
  <si>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</si>
  <si>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</si>
  <si>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</si>
  <si>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</si>
  <si>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</si>
  <si>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</si>
  <si>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</si>
  <si>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</si>
  <si>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</si>
  <si>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</si>
  <si>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</si>
  <si>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</si>
  <si>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</si>
  <si>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</si>
  <si>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</si>
  <si>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</si>
  <si>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</si>
  <si>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</si>
  <si>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</si>
  <si>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</si>
  <si>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</si>
  <si>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</si>
  <si>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</si>
  <si>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</si>
  <si>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</si>
  <si>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</si>
  <si>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</si>
  <si>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</si>
  <si>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</si>
  <si>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</si>
  <si>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</si>
  <si>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</si>
  <si>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</si>
  <si>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</si>
  <si>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</si>
  <si>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</si>
  <si>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</si>
  <si>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</si>
  <si>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</si>
  <si>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</si>
  <si>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</si>
  <si>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</si>
  <si>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</si>
  <si>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</si>
  <si>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</si>
  <si>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</si>
  <si>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</si>
  <si>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</si>
  <si>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</si>
  <si>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</si>
  <si>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</si>
  <si>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</si>
  <si>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</si>
  <si>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</si>
  <si>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</si>
  <si>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</si>
  <si>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</si>
  <si>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</si>
  <si>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</si>
  <si>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</si>
  <si>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</si>
  <si>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</si>
  <si>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</si>
  <si>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</si>
  <si>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</si>
  <si>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</si>
  <si>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</si>
  <si>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</si>
  <si>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</si>
  <si>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</si>
  <si>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</si>
  <si>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</si>
  <si>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</si>
  <si>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</si>
  <si>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</si>
  <si>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</si>
  <si>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</si>
  <si>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</si>
  <si>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</si>
  <si>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</si>
  <si>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</si>
  <si>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</si>
  <si>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</si>
  <si>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</si>
  <si>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</si>
  <si>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</si>
  <si>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</si>
  <si>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</si>
  <si>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</si>
  <si>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</si>
  <si>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</si>
  <si>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</si>
  <si>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</si>
  <si>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</si>
  <si>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</si>
  <si>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</si>
  <si>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</si>
  <si>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</si>
  <si>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</si>
  <si>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</si>
  <si>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</si>
  <si>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</si>
  <si>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</si>
  <si>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</si>
  <si>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</si>
  <si>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</si>
  <si>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</si>
  <si>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</si>
  <si>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</si>
  <si>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</si>
  <si>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</si>
  <si>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</si>
  <si>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</si>
  <si>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</si>
  <si>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</si>
  <si>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</si>
  <si>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</si>
  <si>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</si>
  <si>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</si>
  <si>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</si>
  <si>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</si>
  <si>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</si>
  <si>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</si>
  <si>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</si>
  <si>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</si>
  <si>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</si>
  <si>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</si>
  <si>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</si>
  <si>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</si>
  <si>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</si>
  <si>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</si>
  <si>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</si>
  <si>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</si>
  <si>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</si>
  <si>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</si>
  <si>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</si>
  <si>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</si>
  <si>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</si>
  <si>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</si>
  <si>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</si>
  <si>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</si>
  <si>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</si>
  <si>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</si>
  <si>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</si>
  <si>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</si>
  <si>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</si>
  <si>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</si>
  <si>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</si>
  <si>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</si>
  <si>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</si>
  <si>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</si>
  <si>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</si>
  <si>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</si>
  <si>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</si>
  <si>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</si>
  <si>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</si>
  <si>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</si>
  <si>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</si>
  <si>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</si>
  <si>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</si>
  <si>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</si>
  <si>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</si>
  <si>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</si>
  <si>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</si>
  <si>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</si>
  <si>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</si>
  <si>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</si>
  <si>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</si>
  <si>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</si>
  <si>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</si>
  <si>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</si>
  <si>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</si>
  <si>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</si>
  <si>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</si>
  <si>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</si>
  <si>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</si>
  <si>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</si>
  <si>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</si>
  <si>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</si>
  <si>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</si>
  <si>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</si>
  <si>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</si>
  <si>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</si>
  <si>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</si>
  <si>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</si>
  <si>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</si>
  <si>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</si>
  <si>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</si>
  <si>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</si>
  <si>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</si>
  <si>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</si>
  <si>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</si>
  <si>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</si>
  <si>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</si>
  <si>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</si>
  <si>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</si>
  <si>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</si>
  <si>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</si>
  <si>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</si>
  <si>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</si>
  <si>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</si>
  <si>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</si>
  <si>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</si>
  <si>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</si>
  <si>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</si>
  <si>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</si>
  <si>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</si>
  <si>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</si>
  <si>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</si>
  <si>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</si>
  <si>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</si>
  <si>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</si>
  <si>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</si>
  <si>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</si>
  <si>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</si>
  <si>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</si>
  <si>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</si>
  <si>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</si>
  <si>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</si>
  <si>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</si>
  <si>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</si>
  <si>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</si>
  <si>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</si>
  <si>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</si>
  <si>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</si>
  <si>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</si>
  <si>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</si>
  <si>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</si>
  <si>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</si>
  <si>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</si>
  <si>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</si>
  <si>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</si>
  <si>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</si>
  <si>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</si>
  <si>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</si>
  <si>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</si>
  <si>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</si>
  <si>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</si>
  <si>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</si>
  <si>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</si>
  <si>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</si>
  <si>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</si>
  <si>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</si>
  <si>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</si>
  <si>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</si>
  <si>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</si>
  <si>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</si>
  <si>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</si>
  <si>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</si>
  <si>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</si>
  <si>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</si>
  <si>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</si>
  <si>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</si>
  <si>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</si>
  <si>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</si>
  <si>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</si>
  <si>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</si>
  <si>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</si>
  <si>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</si>
  <si>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</si>
  <si>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</si>
  <si>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</si>
  <si>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</si>
  <si>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</si>
  <si>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</si>
  <si>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</si>
  <si>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</si>
  <si>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</si>
  <si>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</si>
  <si>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</si>
  <si>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</si>
  <si>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</si>
  <si>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</si>
  <si>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</si>
  <si>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</si>
  <si>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</si>
  <si>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</si>
  <si>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</si>
  <si>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</si>
  <si>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</si>
  <si>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</si>
  <si>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</si>
  <si>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</si>
  <si>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</si>
  <si>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</si>
  <si>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</si>
  <si>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</si>
  <si>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</si>
  <si>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</si>
  <si>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</si>
  <si>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</si>
  <si>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</si>
  <si>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</si>
  <si>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</si>
  <si>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</si>
  <si>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</si>
  <si>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</si>
  <si>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</si>
  <si>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</si>
  <si>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</si>
  <si>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</si>
  <si>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</si>
  <si>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</si>
  <si>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</si>
  <si>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</si>
  <si>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</si>
  <si>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</si>
  <si>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</si>
  <si>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</si>
  <si>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</si>
  <si>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</si>
  <si>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</si>
  <si>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</si>
  <si>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</si>
  <si>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</si>
  <si>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</si>
  <si>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</si>
  <si>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</si>
  <si>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</si>
  <si>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</si>
  <si>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</si>
  <si>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</si>
  <si>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</si>
  <si>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</si>
  <si>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</si>
  <si>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</si>
  <si>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</si>
  <si>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</si>
  <si>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</si>
  <si>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</si>
  <si>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</si>
  <si>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</si>
  <si>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</si>
  <si>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</si>
  <si>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</si>
  <si>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</si>
  <si>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</si>
  <si>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</si>
  <si>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</si>
  <si>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</si>
  <si>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</si>
  <si>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</si>
  <si>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</si>
  <si>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</si>
  <si>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</si>
  <si>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</si>
  <si>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</si>
  <si>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</si>
  <si>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</si>
  <si>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</si>
  <si>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</si>
  <si>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</si>
  <si>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</si>
  <si>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</si>
  <si>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</si>
  <si>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</si>
  <si>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</si>
  <si>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</si>
  <si>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</si>
  <si>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</si>
  <si>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</si>
  <si>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</si>
  <si>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</si>
  <si>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</si>
  <si>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</si>
  <si>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</si>
  <si>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</si>
  <si>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</si>
  <si>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</si>
  <si>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</si>
  <si>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</si>
  <si>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</si>
  <si>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</si>
  <si>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</si>
  <si>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</si>
  <si>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</si>
  <si>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</si>
  <si>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</si>
  <si>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</si>
  <si>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</si>
  <si>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</si>
  <si>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</si>
  <si>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</si>
  <si>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</si>
  <si>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</si>
  <si>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</si>
  <si>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</si>
  <si>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</si>
  <si>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</si>
  <si>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</si>
  <si>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</si>
  <si>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</si>
  <si>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</si>
  <si>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</si>
  <si>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</si>
  <si>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</si>
  <si>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</si>
  <si>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</si>
  <si>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</si>
  <si>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</si>
  <si>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</si>
  <si>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</si>
  <si>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</si>
  <si>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</si>
  <si>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</si>
  <si>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</si>
  <si>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</si>
  <si>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</si>
  <si>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</si>
  <si>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</si>
  <si>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</si>
  <si>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</si>
  <si>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</si>
  <si>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</si>
  <si>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</si>
  <si>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</si>
  <si>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</si>
  <si>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</si>
  <si>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</si>
  <si>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</si>
  <si>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</si>
  <si>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</si>
  <si>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</si>
  <si>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</si>
  <si>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</si>
  <si>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</si>
  <si>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</si>
  <si>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</si>
  <si>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</si>
  <si>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</si>
  <si>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</si>
  <si>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</si>
  <si>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</si>
  <si>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</si>
  <si>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</si>
  <si>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</si>
  <si>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</si>
  <si>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</si>
  <si>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</si>
  <si>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</si>
  <si>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</si>
  <si>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</si>
  <si>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</si>
  <si>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</si>
  <si>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</si>
  <si>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</si>
  <si>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</si>
  <si>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</si>
  <si>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</si>
  <si>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</si>
  <si>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</si>
  <si>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</si>
  <si>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</si>
  <si>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</si>
  <si>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</si>
  <si>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</si>
  <si>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</si>
  <si>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</si>
  <si>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</si>
  <si>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</si>
  <si>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</si>
  <si>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</si>
  <si>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</si>
  <si>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</si>
  <si>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</si>
  <si>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</si>
  <si>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</si>
  <si>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</si>
  <si>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</si>
  <si>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</si>
  <si>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</si>
  <si>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</si>
  <si>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</si>
  <si>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</si>
  <si>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</si>
  <si>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</si>
  <si>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</si>
  <si>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</si>
  <si>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</si>
  <si>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</si>
  <si>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</si>
  <si>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</si>
  <si>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</si>
  <si>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</si>
  <si>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</si>
  <si>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</si>
  <si>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</si>
  <si>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</si>
  <si>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</si>
  <si>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</si>
  <si>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</si>
  <si>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</si>
  <si>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</si>
  <si>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</si>
  <si>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</si>
  <si>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</si>
  <si>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</si>
  <si>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</si>
  <si>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</si>
  <si>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</si>
  <si>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</si>
  <si>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</si>
  <si>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</si>
  <si>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</si>
  <si>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</si>
  <si>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</si>
  <si>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</si>
  <si>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</si>
  <si>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</si>
  <si>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</si>
  <si>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</si>
  <si>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</si>
  <si>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</si>
  <si>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</si>
  <si>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</si>
  <si>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</si>
  <si>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</si>
  <si>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</si>
  <si>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</si>
  <si>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</si>
  <si>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</si>
  <si>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</si>
  <si>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</si>
  <si>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</si>
  <si>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</si>
  <si>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</si>
  <si>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</si>
  <si>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</si>
  <si>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</si>
  <si>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</si>
  <si>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</si>
  <si>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</si>
  <si>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</si>
  <si>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</si>
  <si>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</si>
  <si>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</si>
  <si>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</si>
  <si>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</si>
  <si>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</si>
  <si>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</si>
  <si>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</si>
  <si>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</si>
  <si>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</si>
  <si>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</si>
  <si>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</si>
  <si>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</si>
  <si>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</si>
  <si>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</si>
  <si>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</si>
  <si>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</si>
  <si>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</si>
  <si>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</si>
  <si>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</si>
  <si>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</si>
  <si>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</si>
  <si>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</si>
  <si>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</si>
  <si>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</si>
  <si>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</si>
  <si>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</si>
  <si>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</si>
  <si>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</si>
  <si>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</si>
  <si>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</si>
  <si>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</si>
  <si>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</si>
  <si>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</si>
  <si>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</si>
  <si>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</si>
  <si>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</si>
  <si>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</si>
  <si>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</si>
  <si>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</si>
  <si>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</si>
  <si>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</si>
  <si>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</si>
  <si>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</si>
  <si>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</si>
  <si>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</si>
  <si>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</si>
  <si>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</si>
  <si>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</si>
  <si>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</si>
  <si>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</si>
  <si>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</si>
  <si>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</si>
  <si>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</si>
  <si>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</si>
  <si>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</si>
  <si>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</si>
  <si>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</si>
  <si>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</si>
  <si>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</si>
  <si>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</si>
  <si>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</si>
  <si>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</si>
  <si>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</si>
  <si>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</si>
  <si>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</si>
  <si>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</si>
  <si>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</si>
  <si>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</si>
  <si>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</si>
  <si>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</si>
  <si>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</si>
  <si>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</si>
  <si>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</si>
  <si>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</si>
  <si>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</si>
  <si>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</si>
  <si>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</si>
  <si>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</si>
  <si>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</si>
  <si>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</si>
  <si>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</si>
  <si>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</si>
  <si>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</si>
  <si>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</si>
  <si>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</si>
  <si>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</si>
  <si>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</si>
  <si>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</si>
  <si>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</si>
  <si>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</si>
  <si>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</si>
  <si>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</si>
  <si>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</si>
  <si>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</si>
  <si>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</si>
  <si>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</si>
  <si>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</si>
  <si>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</si>
  <si>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</si>
  <si>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</si>
  <si>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</si>
  <si>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</si>
  <si>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</si>
  <si>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</si>
  <si>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</si>
  <si>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</si>
  <si>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</si>
  <si>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</si>
  <si>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</si>
  <si>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</si>
  <si>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</si>
  <si>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</si>
  <si>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</si>
  <si>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</si>
  <si>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</si>
  <si>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</si>
  <si>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</si>
  <si>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</si>
  <si>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</si>
  <si>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</si>
  <si>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</si>
  <si>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</si>
  <si>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</si>
  <si>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</si>
  <si>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</si>
  <si>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</si>
  <si>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</si>
  <si>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</si>
  <si>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</si>
  <si>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</si>
  <si>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</si>
  <si>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</si>
  <si>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</si>
  <si>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</si>
  <si>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</si>
  <si>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</si>
  <si>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</si>
  <si>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</si>
  <si>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</si>
  <si>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</si>
  <si>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</si>
  <si>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</si>
  <si>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</si>
  <si>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</si>
  <si>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</si>
  <si>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</si>
  <si>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</si>
  <si>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</si>
  <si>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</si>
  <si>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</si>
  <si>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</si>
  <si>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</si>
  <si>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</si>
  <si>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</si>
  <si>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</si>
  <si>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</si>
  <si>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</si>
  <si>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</si>
  <si>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</si>
  <si>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</si>
  <si>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</si>
  <si>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</si>
  <si>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</si>
  <si>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</si>
  <si>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</si>
  <si>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</si>
  <si>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</si>
  <si>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</si>
  <si>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</si>
  <si>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</si>
  <si>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</si>
  <si>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</si>
  <si>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</si>
  <si>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</si>
  <si>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</si>
  <si>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</si>
  <si>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</si>
  <si>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</si>
  <si>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</si>
  <si>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</si>
  <si>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</si>
  <si>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</si>
  <si>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</si>
  <si>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</si>
  <si>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</si>
  <si>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</si>
  <si>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</si>
  <si>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</si>
  <si>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</si>
  <si>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</si>
  <si>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</si>
  <si>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</si>
  <si>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</si>
  <si>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</si>
  <si>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</si>
  <si>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</si>
  <si>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</si>
  <si>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</si>
  <si>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</si>
  <si>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</si>
  <si>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</si>
  <si>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</si>
  <si>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</si>
  <si>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</si>
  <si>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</si>
  <si>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</si>
  <si>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</si>
  <si>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</si>
  <si>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</si>
  <si>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</si>
  <si>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</si>
  <si>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</si>
  <si>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</si>
  <si>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</si>
  <si>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</si>
  <si>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</si>
  <si>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</si>
  <si>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</si>
  <si>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</si>
  <si>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</si>
  <si>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</si>
  <si>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</si>
  <si>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</si>
  <si>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</si>
  <si>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</si>
  <si>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</si>
  <si>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</si>
  <si>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</si>
  <si>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</si>
  <si>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</si>
  <si>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</si>
  <si>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</si>
  <si>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</si>
  <si>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</si>
  <si>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</si>
  <si>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</si>
  <si>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</si>
  <si>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</si>
  <si>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</si>
  <si>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</si>
  <si>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</si>
  <si>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</si>
  <si>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</si>
  <si>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</si>
  <si>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</si>
  <si>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</si>
  <si>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</si>
  <si>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</si>
  <si>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</si>
  <si>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</si>
  <si>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</si>
  <si>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</si>
  <si>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</si>
  <si>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</si>
  <si>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</si>
  <si>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</si>
  <si>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</si>
  <si>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</si>
  <si>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</si>
  <si>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</si>
  <si>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</si>
  <si>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</si>
  <si>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</si>
  <si>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</si>
  <si>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</si>
  <si>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</si>
  <si>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</si>
  <si>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</si>
  <si>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</si>
  <si>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</si>
  <si>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</si>
  <si>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</si>
  <si>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</si>
  <si>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</si>
  <si>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</si>
  <si>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</si>
  <si>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</si>
  <si>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</si>
  <si>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</si>
  <si>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</si>
  <si>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</si>
  <si>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</si>
  <si>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</si>
  <si>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</si>
  <si>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</si>
  <si>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</si>
  <si>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</si>
  <si>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</si>
  <si>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</si>
  <si>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</si>
  <si>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</si>
  <si>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</si>
  <si>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</si>
  <si>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</si>
  <si>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</si>
  <si>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</si>
  <si>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</si>
  <si>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</si>
  <si>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</si>
  <si>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</si>
  <si>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</si>
  <si>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</si>
  <si>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</si>
  <si>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</si>
  <si>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</si>
  <si>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</si>
  <si>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</si>
  <si>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</si>
  <si>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</si>
  <si>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</si>
  <si>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</si>
  <si>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</si>
  <si>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</si>
  <si>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</si>
  <si>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</si>
  <si>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</si>
  <si>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</si>
  <si>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</si>
  <si>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</si>
  <si>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</si>
  <si>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</si>
  <si>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</si>
  <si>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</si>
  <si>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</si>
  <si>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</si>
  <si>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</si>
  <si>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</si>
  <si>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</si>
  <si>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</si>
  <si>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</si>
  <si>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</si>
  <si>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</si>
  <si>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</si>
  <si>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</si>
  <si>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</si>
  <si>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</si>
  <si>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</si>
  <si>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</si>
  <si>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</si>
  <si>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</si>
  <si>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</si>
  <si>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</si>
  <si>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</si>
  <si>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</si>
  <si>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</si>
  <si>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</si>
  <si>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</si>
  <si>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</si>
  <si>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</si>
  <si>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</si>
  <si>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</si>
  <si>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</si>
  <si>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</si>
  <si>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</si>
  <si>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</si>
  <si>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</si>
  <si>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</si>
  <si>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</si>
  <si>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</si>
  <si>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</si>
  <si>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</si>
  <si>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</si>
  <si>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</si>
  <si>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</si>
  <si>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</si>
  <si>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</si>
  <si>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</si>
  <si>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</si>
  <si>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</si>
  <si>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</si>
  <si>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</si>
  <si>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</si>
  <si>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</si>
  <si>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</si>
  <si>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</si>
  <si>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</si>
  <si>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</si>
  <si>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</si>
  <si>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</si>
  <si>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</si>
  <si>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</si>
  <si>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</si>
  <si>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</si>
  <si>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</si>
  <si>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</si>
  <si>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</si>
  <si>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</si>
  <si>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</si>
  <si>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</si>
  <si>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</si>
  <si>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</si>
  <si>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</si>
  <si>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</si>
  <si>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</si>
  <si>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</si>
  <si>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</si>
  <si>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</si>
  <si>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</si>
  <si>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</si>
  <si>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</si>
  <si>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</si>
  <si>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</si>
  <si>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</si>
  <si>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</si>
  <si>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</si>
  <si>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</si>
  <si>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</si>
  <si>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</si>
  <si>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</si>
  <si>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</si>
  <si>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</si>
  <si>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</si>
  <si>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</si>
  <si>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</si>
  <si>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</si>
  <si>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</si>
  <si>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</si>
  <si>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</si>
  <si>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</si>
  <si>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</si>
  <si>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</si>
  <si>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</si>
  <si>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</si>
  <si>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</si>
  <si>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</si>
  <si>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</si>
  <si>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</si>
  <si>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</si>
  <si>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</si>
  <si>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</si>
  <si>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</si>
  <si>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</si>
  <si>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</si>
  <si>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</si>
  <si>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</si>
  <si>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</si>
  <si>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</si>
  <si>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</si>
  <si>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</si>
  <si>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</si>
  <si>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</si>
  <si>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</si>
  <si>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</si>
  <si>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</si>
  <si>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</si>
  <si>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</si>
  <si>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</si>
  <si>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</si>
  <si>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</si>
  <si>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</si>
  <si>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</si>
  <si>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</si>
  <si>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</si>
  <si>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</si>
  <si>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</si>
  <si>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</si>
  <si>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</si>
  <si>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</si>
  <si>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</si>
  <si>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</si>
  <si>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</si>
  <si>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</si>
  <si>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</si>
  <si>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</si>
  <si>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</si>
  <si>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</si>
  <si>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</si>
  <si>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</si>
  <si>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</si>
  <si>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</si>
  <si>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</si>
  <si>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</si>
  <si>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</si>
  <si>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</si>
  <si>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</si>
  <si>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</si>
  <si>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</si>
  <si>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</si>
  <si>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</si>
  <si>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</si>
  <si>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</si>
  <si>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</si>
  <si>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</si>
  <si>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</si>
  <si>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</si>
  <si>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</si>
  <si>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</si>
  <si>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</si>
  <si>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</si>
  <si>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</si>
  <si>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</si>
  <si>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</si>
  <si>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</si>
  <si>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</si>
  <si>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</si>
  <si>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</si>
  <si>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</si>
  <si>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</si>
  <si>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</si>
  <si>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</si>
  <si>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</si>
  <si>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</si>
  <si>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</si>
  <si>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</si>
  <si>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</si>
  <si>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</si>
  <si>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</si>
  <si>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</si>
  <si>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</si>
  <si>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</si>
  <si>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</si>
  <si>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</si>
  <si>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</si>
  <si>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</si>
  <si>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</si>
  <si>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</si>
  <si>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</si>
  <si>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</si>
  <si>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</si>
  <si>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</si>
  <si>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</si>
  <si>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</si>
  <si>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</si>
  <si>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</si>
  <si>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</si>
  <si>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</si>
  <si>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</si>
  <si>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</si>
  <si>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</si>
  <si>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</si>
  <si>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</si>
  <si>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</si>
  <si>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</si>
  <si>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</si>
  <si>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</si>
  <si>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</si>
  <si>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</si>
  <si>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</si>
  <si>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</si>
  <si>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</si>
  <si>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</si>
  <si>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</si>
  <si>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</si>
  <si>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</si>
  <si>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</si>
  <si>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</si>
  <si>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</si>
  <si>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</si>
  <si>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</si>
  <si>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</si>
  <si>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</si>
  <si>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</si>
  <si>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</si>
  <si>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</si>
  <si>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</si>
  <si>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</si>
  <si>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</si>
  <si>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</si>
  <si>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</si>
  <si>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</si>
  <si>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</si>
  <si>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</si>
  <si>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</si>
  <si>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</si>
  <si>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</si>
  <si>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</si>
  <si>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</si>
  <si>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</si>
  <si>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</si>
  <si>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</si>
  <si>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</si>
  <si>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</si>
  <si>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</si>
  <si>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</si>
  <si>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</si>
  <si>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</si>
  <si>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</si>
  <si>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</si>
  <si>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</si>
  <si>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</si>
  <si>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</si>
  <si>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</si>
  <si>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</si>
  <si>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</si>
  <si>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</si>
  <si>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</si>
  <si>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</si>
  <si>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</si>
  <si>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</si>
  <si>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</si>
  <si>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</si>
  <si>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</si>
  <si>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</si>
  <si>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</si>
  <si>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</si>
  <si>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</si>
  <si>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</si>
  <si>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</si>
  <si>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</si>
  <si>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</si>
  <si>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</si>
  <si>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</si>
  <si>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</si>
  <si>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</si>
  <si>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</si>
  <si>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</si>
  <si>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</si>
  <si>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</si>
  <si>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</si>
  <si>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</si>
  <si>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</si>
  <si>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</si>
  <si>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</si>
  <si>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</si>
  <si>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</si>
  <si>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</si>
  <si>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</si>
  <si>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</si>
  <si>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</si>
  <si>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</si>
  <si>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</si>
  <si>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</si>
  <si>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</si>
  <si>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</si>
  <si>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</si>
  <si>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</si>
  <si>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</si>
  <si>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</si>
  <si>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</si>
  <si>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</si>
  <si>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</si>
  <si>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</si>
  <si>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</si>
  <si>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</si>
  <si>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</si>
  <si>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</si>
  <si>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</si>
  <si>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</si>
  <si>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</si>
  <si>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</si>
  <si>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</si>
  <si>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</si>
  <si>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</si>
  <si>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</si>
  <si>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</si>
  <si>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</si>
  <si>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</si>
  <si>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</si>
  <si>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</si>
  <si>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</si>
  <si>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</si>
  <si>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</si>
  <si>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</si>
  <si>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</si>
  <si>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</si>
  <si>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</si>
  <si>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</si>
  <si>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</si>
  <si>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</si>
  <si>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</si>
  <si>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</si>
  <si>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</si>
  <si>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</si>
  <si>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</si>
  <si>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</si>
  <si>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</si>
  <si>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</si>
  <si>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</si>
  <si>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</si>
  <si>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</si>
  <si>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</si>
  <si>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</si>
  <si>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</si>
  <si>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</si>
  <si>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</si>
  <si>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</si>
  <si>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</si>
  <si>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</si>
  <si>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</si>
  <si>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</si>
  <si>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</si>
  <si>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</si>
  <si>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</si>
  <si>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</si>
  <si>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</si>
  <si>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</si>
  <si>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</si>
  <si>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</si>
  <si>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</si>
  <si>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</si>
  <si>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</si>
  <si>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</si>
  <si>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</si>
  <si>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</si>
  <si>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</si>
  <si>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</si>
  <si>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</si>
  <si>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</si>
  <si>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</si>
  <si>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</si>
  <si>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</si>
  <si>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</si>
  <si>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</si>
  <si>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</si>
  <si>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</si>
  <si>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</si>
  <si>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</si>
  <si>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</si>
  <si>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</si>
  <si>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</si>
  <si>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</si>
  <si>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</si>
  <si>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Acumulada Octubre 2015</t>
  </si>
  <si>
    <t>Deprec. a Registrar Octubre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</si>
  <si>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</si>
  <si>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</si>
  <si>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</si>
  <si>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</si>
  <si>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</si>
  <si>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</si>
  <si>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</si>
  <si>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</si>
  <si>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</si>
  <si>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</si>
  <si>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(Al 30 de Noviembre del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</si>
</sst>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6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5" borderId="0" xfId="2" applyFont="1" applyFill="1"/>
    <xf numFmtId="0" fontId="6" fillId="15" borderId="0" xfId="2" applyFont="1" applyFill="1" applyAlignment="1">
      <alignment vertical="justify"/>
    </xf>
    <xf numFmtId="164" fontId="6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40" fontId="6" fillId="15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5" borderId="0" xfId="2" applyNumberFormat="1" applyFont="1" applyFill="1" applyBorder="1"/>
    <xf numFmtId="0" fontId="6" fillId="15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6" borderId="0" xfId="2" applyFont="1" applyFill="1" applyBorder="1"/>
    <xf numFmtId="0" fontId="4" fillId="16" borderId="0" xfId="2" applyFont="1" applyFill="1" applyBorder="1" applyAlignment="1">
      <alignment horizontal="left"/>
    </xf>
    <xf numFmtId="1" fontId="6" fillId="16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7" borderId="0" xfId="2" applyFont="1" applyFill="1" applyBorder="1" applyAlignment="1">
      <alignment horizontal="left"/>
    </xf>
    <xf numFmtId="0" fontId="6" fillId="17" borderId="0" xfId="2" applyFont="1" applyFill="1" applyBorder="1" applyAlignment="1">
      <alignment horizontal="right"/>
    </xf>
    <xf numFmtId="164" fontId="6" fillId="17" borderId="0" xfId="2" applyNumberFormat="1" applyFont="1" applyFill="1" applyBorder="1" applyAlignment="1">
      <alignment horizontal="right"/>
    </xf>
    <xf numFmtId="164" fontId="6" fillId="17" borderId="0" xfId="2" applyNumberFormat="1" applyFont="1" applyFill="1" applyAlignment="1">
      <alignment horizontal="left"/>
    </xf>
    <xf numFmtId="1" fontId="6" fillId="17" borderId="0" xfId="2" applyNumberFormat="1" applyFont="1" applyFill="1" applyBorder="1" applyAlignment="1">
      <alignment horizontal="right"/>
    </xf>
    <xf numFmtId="40" fontId="6" fillId="17" borderId="0" xfId="1" applyNumberFormat="1" applyFont="1" applyFill="1" applyBorder="1" applyAlignment="1">
      <alignment horizontal="right"/>
    </xf>
    <xf numFmtId="0" fontId="6" fillId="17" borderId="0" xfId="2" applyFont="1" applyFill="1" applyBorder="1" applyAlignment="1">
      <alignment horizontal="center"/>
    </xf>
    <xf numFmtId="40" fontId="6" fillId="17" borderId="0" xfId="2" applyNumberFormat="1" applyFont="1" applyFill="1" applyAlignment="1">
      <alignment horizontal="right"/>
    </xf>
    <xf numFmtId="40" fontId="6" fillId="17" borderId="0" xfId="2" applyNumberFormat="1" applyFont="1" applyFill="1" applyAlignment="1"/>
    <xf numFmtId="0" fontId="6" fillId="17" borderId="0" xfId="2" applyFont="1" applyFill="1" applyAlignment="1">
      <alignment horizontal="center"/>
    </xf>
    <xf numFmtId="1" fontId="6" fillId="17" borderId="0" xfId="2" applyNumberFormat="1" applyFont="1" applyFill="1" applyBorder="1" applyAlignment="1">
      <alignment horizontal="center"/>
    </xf>
    <xf numFmtId="1" fontId="6" fillId="17" borderId="0" xfId="2" applyNumberFormat="1" applyFont="1" applyFill="1" applyAlignment="1">
      <alignment horizontal="left"/>
    </xf>
    <xf numFmtId="40" fontId="6" fillId="17" borderId="0" xfId="2" applyNumberFormat="1" applyFont="1" applyFill="1" applyBorder="1" applyAlignment="1">
      <alignment horizontal="right"/>
    </xf>
    <xf numFmtId="0" fontId="6" fillId="17" borderId="0" xfId="2" applyFont="1" applyFill="1"/>
    <xf numFmtId="1" fontId="6" fillId="17" borderId="0" xfId="2" applyNumberFormat="1" applyFont="1" applyFill="1" applyAlignment="1">
      <alignment horizontal="center"/>
    </xf>
    <xf numFmtId="14" fontId="6" fillId="17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tabSelected="1" zoomScaleNormal="100" workbookViewId="0">
      <pane xSplit="2" ySplit="6" topLeftCell="P31" activePane="bottomRight" state="frozen"/>
      <selection sqref="A1:T2"/>
      <selection pane="topRight" sqref="A1:T2"/>
      <selection pane="bottomLeft" sqref="A1:T2"/>
      <selection pane="bottomRight" activeCell="T49" sqref="T49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2374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2923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42338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2911</v>
      </c>
      <c r="T6" s="10" t="s">
        <v>2912</v>
      </c>
      <c r="U6" s="129" t="s">
        <v>24</v>
      </c>
      <c r="W6" s="387" t="s">
        <v>26</v>
      </c>
    </row>
    <row r="7" spans="1:23" ht="15.6" customHeight="1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36811.708333333328</v>
      </c>
      <c r="T11" s="15">
        <f t="shared" si="2"/>
        <v>4262.4083333333328</v>
      </c>
      <c r="U11" s="380">
        <f t="shared" si="3"/>
        <v>9688.2916666666715</v>
      </c>
      <c r="W11" s="44">
        <f t="shared" si="4"/>
        <v>95</v>
      </c>
    </row>
    <row r="12" spans="1:23" ht="15.6" customHeight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14090.875000000002</v>
      </c>
      <c r="T12" s="15">
        <f t="shared" si="2"/>
        <v>1631.5750000000007</v>
      </c>
      <c r="U12" s="380">
        <f t="shared" si="3"/>
        <v>3709.1249999999982</v>
      </c>
      <c r="W12" s="44">
        <f t="shared" si="4"/>
        <v>95</v>
      </c>
    </row>
    <row r="13" spans="1:23" ht="15.6" customHeight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14090.875000000002</v>
      </c>
      <c r="T13" s="15">
        <f t="shared" si="2"/>
        <v>1631.5750000000007</v>
      </c>
      <c r="U13" s="380">
        <f t="shared" si="3"/>
        <v>3709.1249999999982</v>
      </c>
      <c r="W13" s="44">
        <f t="shared" ref="W13:W29" si="6">IF((DATEDIF(G13,W$4,"m"))&gt;=120,120,(DATEDIF(G13,W$4,"m")))</f>
        <v>95</v>
      </c>
    </row>
    <row r="14" spans="1:23" ht="15.6" customHeight="1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18165.758333333331</v>
      </c>
      <c r="T19" s="15">
        <f t="shared" si="2"/>
        <v>1833.241666666665</v>
      </c>
      <c r="U19" s="380">
        <f t="shared" si="3"/>
        <v>1834.2416666666686</v>
      </c>
      <c r="W19" s="44">
        <f>IF((DATEDIF(G19,W$4,"m"))&gt;=120,120,(DATEDIF(G19,W$4,"m")))</f>
        <v>109</v>
      </c>
    </row>
    <row r="20" spans="1:23" ht="15.6" customHeight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13624.091666666667</v>
      </c>
      <c r="T20" s="15">
        <f t="shared" si="2"/>
        <v>1374.9083333333328</v>
      </c>
      <c r="U20" s="380">
        <f t="shared" si="3"/>
        <v>1375.9083333333328</v>
      </c>
      <c r="W20" s="44">
        <f>IF((DATEDIF(G20,W$4,"m"))&gt;=120,120,(DATEDIF(G20,W$4,"m")))</f>
        <v>109</v>
      </c>
    </row>
    <row r="21" spans="1:23" ht="15.6" customHeight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70582.407500000001</v>
      </c>
      <c r="T24" s="15">
        <f t="shared" si="2"/>
        <v>7058.2407499999972</v>
      </c>
      <c r="U24" s="380">
        <f>N24-S24</f>
        <v>6417.5825000000041</v>
      </c>
      <c r="W24" s="44">
        <f>IF((DATEDIF(G24,W$4,"m"))&gt;=120,120,(DATEDIF(G24,W$4,"m")))</f>
        <v>110</v>
      </c>
    </row>
    <row r="25" spans="1:23" s="392" customFormat="1" ht="15.6" customHeight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54953.258333333331</v>
      </c>
      <c r="T25" s="15">
        <f t="shared" si="2"/>
        <v>5545.7416666666686</v>
      </c>
      <c r="U25" s="380">
        <f>N25-S25</f>
        <v>5546.7416666666686</v>
      </c>
      <c r="W25" s="44">
        <f t="shared" si="6"/>
        <v>109</v>
      </c>
    </row>
    <row r="26" spans="1:23" s="392" customFormat="1" ht="15.6" customHeight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54953.258333333331</v>
      </c>
      <c r="T26" s="15">
        <f t="shared" si="2"/>
        <v>5545.7416666666686</v>
      </c>
      <c r="U26" s="380">
        <f>N26-S26</f>
        <v>5546.7416666666686</v>
      </c>
      <c r="W26" s="44">
        <f t="shared" si="6"/>
        <v>109</v>
      </c>
    </row>
    <row r="27" spans="1:23" s="398" customFormat="1" ht="15.6" customHeigh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14090.875000000002</v>
      </c>
      <c r="T28" s="15">
        <f t="shared" si="2"/>
        <v>1631.5750000000007</v>
      </c>
      <c r="U28" s="380">
        <f>N28-S28</f>
        <v>3709.1249999999982</v>
      </c>
      <c r="W28" s="44">
        <f t="shared" si="6"/>
        <v>95</v>
      </c>
    </row>
    <row r="29" spans="1:23" s="392" customFormat="1" ht="15.6" customHeight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14090.875000000002</v>
      </c>
      <c r="T29" s="15">
        <f t="shared" si="2"/>
        <v>1631.5750000000007</v>
      </c>
      <c r="U29" s="380">
        <f>N29-S29</f>
        <v>3709.1249999999982</v>
      </c>
      <c r="W29" s="44">
        <f t="shared" si="6"/>
        <v>95</v>
      </c>
    </row>
    <row r="30" spans="1:23" s="392" customFormat="1" ht="15.6" customHeight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1886.8229166666667</v>
      </c>
      <c r="T30" s="15">
        <f t="shared" si="2"/>
        <v>244.17708333333326</v>
      </c>
      <c r="U30" s="380">
        <f>N30-S30</f>
        <v>777.92708333333326</v>
      </c>
      <c r="W30" s="44">
        <f>IF((DATEDIF(G30,W$4,"m"))&gt;=120,120,(DATEDIF(G30,W$4,"m")))</f>
        <v>85</v>
      </c>
    </row>
    <row r="31" spans="1:23" s="105" customFormat="1" ht="15.6" customHeight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871337.20541666658</v>
      </c>
      <c r="T31" s="115">
        <f>SUM(T7:T30)</f>
        <v>35640.709500000004</v>
      </c>
      <c r="U31" s="115">
        <f>SUM(U7:U30)</f>
        <v>46036.934583333343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27810.481916666664</v>
      </c>
      <c r="T33" s="15">
        <f>S33-R33</f>
        <v>3872.3455833333319</v>
      </c>
      <c r="U33" s="380">
        <f>N33-S33</f>
        <v>14434.288083333333</v>
      </c>
      <c r="W33" s="44">
        <f>IF((DATEDIF(G33,W$4,"m"))&gt;=120,120,(DATEDIF(G33,W$4,"m")))</f>
        <v>79</v>
      </c>
    </row>
    <row r="34" spans="1:23" s="392" customFormat="1" ht="12.75" customHeigh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27810.481916666664</v>
      </c>
      <c r="T34" s="15">
        <f>S34-R34</f>
        <v>3872.3455833333319</v>
      </c>
      <c r="U34" s="380">
        <f>N34-S34</f>
        <v>14434.288083333333</v>
      </c>
      <c r="W34" s="44">
        <f>IF((DATEDIF(G34,W$4,"m"))&gt;=120,120,(DATEDIF(G34,W$4,"m")))</f>
        <v>79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27810.481916666664</v>
      </c>
      <c r="T35" s="15">
        <f>S35-R35</f>
        <v>3872.3455833333319</v>
      </c>
      <c r="U35" s="380">
        <f>N35-S35</f>
        <v>14434.288083333333</v>
      </c>
      <c r="W35" s="44">
        <f>IF((DATEDIF(G35,W$4,"m"))&gt;=120,120,(DATEDIF(G35,W$4,"m")))</f>
        <v>79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83431.445749999984</v>
      </c>
      <c r="T36" s="115">
        <f>SUM(T33:T35)</f>
        <v>11617.036749999996</v>
      </c>
      <c r="U36" s="115">
        <f>SUM(U33:U35)</f>
        <v>43302.864249999999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954768.65116666653</v>
      </c>
      <c r="T38" s="411">
        <f>+T31+T36</f>
        <v>47257.746249999997</v>
      </c>
      <c r="U38" s="411">
        <f>+U31+U36</f>
        <v>89339.798833333334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309578.13333333336</v>
      </c>
      <c r="T40" s="15">
        <f>S40-R40</f>
        <v>53208.741666666669</v>
      </c>
      <c r="U40" s="380">
        <f>N40-S40</f>
        <v>270881.86666666664</v>
      </c>
      <c r="W40" s="44">
        <f>IF((DATEDIF(G40,W$4,"m"))&gt;=120,120,(DATEDIF(G40,W$4,"m")))</f>
        <v>64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773946.1333333333</v>
      </c>
      <c r="T41" s="15">
        <f>S41-R41</f>
        <v>133021.9916666667</v>
      </c>
      <c r="U41" s="380">
        <f>N41-S41</f>
        <v>677203.8666666667</v>
      </c>
      <c r="W41" s="44">
        <f>IF((DATEDIF(G41,W$4,"m"))&gt;=120,120,(DATEDIF(G41,W$4,"m")))</f>
        <v>64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464367.46666666662</v>
      </c>
      <c r="T42" s="15">
        <f>S42-R42</f>
        <v>79813.158333333326</v>
      </c>
      <c r="U42" s="380">
        <f>N42-S42</f>
        <v>406322.53333333338</v>
      </c>
      <c r="W42" s="44">
        <f>IF((DATEDIF(G42,W$4,"m"))&gt;=120,120,(DATEDIF(G42,W$4,"m")))</f>
        <v>64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1547891.7333333332</v>
      </c>
      <c r="T43" s="115">
        <f>SUM(T40:T42)</f>
        <v>266043.89166666672</v>
      </c>
      <c r="U43" s="115">
        <f>SUM(U40:U42)</f>
        <v>1354408.2666666668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13541.458333333332</v>
      </c>
      <c r="T45" s="15">
        <f>S45-R45</f>
        <v>5958.2416666666659</v>
      </c>
      <c r="U45" s="380">
        <f>N45-S45</f>
        <v>51458.541666666672</v>
      </c>
      <c r="V45" s="392">
        <v>18602</v>
      </c>
      <c r="W45" s="44">
        <f>IF((DATEDIF(G45,W$4,"m"))&gt;=120,120,(DATEDIF(G45,W$4,"m")))</f>
        <v>25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13541.458333333332</v>
      </c>
      <c r="T46" s="115">
        <f>SUM(T45)</f>
        <v>5958.2416666666659</v>
      </c>
      <c r="U46" s="115">
        <f>SUM(U45)</f>
        <v>51458.541666666672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2516201.8428333332</v>
      </c>
      <c r="T48" s="416">
        <f>+T38+T43+T46</f>
        <v>319259.87958333333</v>
      </c>
      <c r="U48" s="416">
        <f>+U38+U43+U46</f>
        <v>1495206.607166667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ht="12.75" customHeight="1" x14ac:dyDescent="0.25">
      <c r="A2" s="684"/>
      <c r="B2" s="684"/>
      <c r="C2" s="684"/>
      <c r="D2" s="684"/>
      <c r="E2" s="684"/>
      <c r="F2" s="684"/>
      <c r="G2" s="684"/>
      <c r="H2" s="684"/>
      <c r="I2" s="684"/>
      <c r="J2" s="684"/>
    </row>
    <row r="3" spans="1:10" s="295" customFormat="1" x14ac:dyDescent="0.25">
      <c r="A3" s="684" t="s">
        <v>2665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1:10" s="295" customFormat="1" x14ac:dyDescent="0.25">
      <c r="A4" s="684" t="str">
        <f>'Equipos de Producción'!A3:S3</f>
        <v>(Al 30 de Noviembre del 2015)</v>
      </c>
      <c r="B4" s="684"/>
      <c r="C4" s="684"/>
      <c r="D4" s="684"/>
      <c r="E4" s="684"/>
      <c r="F4" s="684"/>
      <c r="G4" s="684"/>
      <c r="H4" s="684"/>
      <c r="I4" s="684"/>
      <c r="J4" s="684"/>
    </row>
    <row r="5" spans="1:10" s="295" customFormat="1" x14ac:dyDescent="0.25">
      <c r="A5" s="545"/>
      <c r="B5" s="545"/>
      <c r="C5" s="545"/>
      <c r="D5" s="545"/>
      <c r="E5" s="545"/>
      <c r="F5" s="545"/>
      <c r="G5" s="545"/>
      <c r="H5" s="545"/>
      <c r="I5" s="545"/>
      <c r="J5" s="545"/>
    </row>
    <row r="6" spans="1:10" x14ac:dyDescent="0.25">
      <c r="D6" s="685" t="s">
        <v>2</v>
      </c>
      <c r="E6" s="685"/>
      <c r="F6" s="685"/>
    </row>
    <row r="7" spans="1:10" x14ac:dyDescent="0.25">
      <c r="A7" s="546" t="s">
        <v>7</v>
      </c>
      <c r="B7" s="546" t="s">
        <v>2666</v>
      </c>
      <c r="C7" s="546" t="s">
        <v>2667</v>
      </c>
      <c r="D7" s="546" t="s">
        <v>13</v>
      </c>
      <c r="E7" s="546" t="s">
        <v>14</v>
      </c>
      <c r="F7" s="546" t="s">
        <v>15</v>
      </c>
      <c r="G7" s="546" t="s">
        <v>2668</v>
      </c>
      <c r="H7" s="547" t="s">
        <v>2669</v>
      </c>
      <c r="I7" s="547" t="s">
        <v>6</v>
      </c>
      <c r="J7" s="547" t="s">
        <v>2670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2671</v>
      </c>
      <c r="D9" s="545"/>
      <c r="E9" s="545"/>
      <c r="F9" s="545"/>
    </row>
    <row r="10" spans="1:10" ht="31.5" x14ac:dyDescent="0.25">
      <c r="A10" s="111" t="s">
        <v>2672</v>
      </c>
      <c r="B10" s="111" t="s">
        <v>2673</v>
      </c>
      <c r="C10" s="119" t="s">
        <v>2674</v>
      </c>
      <c r="D10" s="119">
        <v>28</v>
      </c>
      <c r="E10" s="119">
        <v>11</v>
      </c>
      <c r="F10" s="119">
        <v>2003</v>
      </c>
      <c r="G10" s="119" t="s">
        <v>2675</v>
      </c>
      <c r="H10" s="548">
        <v>15000</v>
      </c>
      <c r="I10" s="549" t="s">
        <v>1529</v>
      </c>
      <c r="J10" s="111">
        <v>3314</v>
      </c>
    </row>
    <row r="11" spans="1:10" x14ac:dyDescent="0.25">
      <c r="A11" s="111" t="s">
        <v>2676</v>
      </c>
      <c r="B11" s="111" t="s">
        <v>2677</v>
      </c>
      <c r="C11" s="119" t="s">
        <v>2678</v>
      </c>
      <c r="D11" s="119">
        <v>27</v>
      </c>
      <c r="E11" s="119">
        <v>11</v>
      </c>
      <c r="F11" s="119">
        <v>2003</v>
      </c>
      <c r="G11" s="119" t="s">
        <v>2675</v>
      </c>
      <c r="H11" s="548">
        <v>7000</v>
      </c>
      <c r="I11" s="548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8"/>
      <c r="I12" s="548"/>
    </row>
    <row r="13" spans="1:10" x14ac:dyDescent="0.25">
      <c r="A13" s="295" t="s">
        <v>2679</v>
      </c>
      <c r="D13" s="119"/>
      <c r="E13" s="119"/>
      <c r="F13" s="119"/>
    </row>
    <row r="14" spans="1:10" x14ac:dyDescent="0.25">
      <c r="A14" s="111" t="s">
        <v>2848</v>
      </c>
      <c r="B14" s="111" t="s">
        <v>2680</v>
      </c>
      <c r="C14" s="119" t="s">
        <v>2674</v>
      </c>
      <c r="D14" s="119">
        <v>26</v>
      </c>
      <c r="E14" s="119">
        <v>11</v>
      </c>
      <c r="F14" s="119">
        <v>2003</v>
      </c>
      <c r="G14" s="119" t="s">
        <v>2675</v>
      </c>
      <c r="H14" s="548">
        <v>13000</v>
      </c>
      <c r="I14" s="548" t="s">
        <v>2681</v>
      </c>
      <c r="J14" s="111">
        <v>3320</v>
      </c>
    </row>
    <row r="15" spans="1:10" x14ac:dyDescent="0.25">
      <c r="A15" s="111" t="s">
        <v>2682</v>
      </c>
      <c r="B15" s="111" t="s">
        <v>2683</v>
      </c>
      <c r="C15" s="119" t="s">
        <v>2684</v>
      </c>
      <c r="D15" s="119">
        <v>28</v>
      </c>
      <c r="E15" s="119">
        <v>11</v>
      </c>
      <c r="F15" s="119">
        <v>2003</v>
      </c>
      <c r="G15" s="119" t="s">
        <v>2675</v>
      </c>
      <c r="H15" s="548">
        <v>25000</v>
      </c>
      <c r="I15" s="550" t="s">
        <v>2685</v>
      </c>
      <c r="J15" s="111">
        <v>3314</v>
      </c>
    </row>
    <row r="16" spans="1:10" ht="31.5" x14ac:dyDescent="0.25">
      <c r="A16" s="111" t="s">
        <v>2686</v>
      </c>
      <c r="B16" s="111" t="s">
        <v>2687</v>
      </c>
      <c r="C16" s="119" t="s">
        <v>2684</v>
      </c>
      <c r="D16" s="119">
        <v>28</v>
      </c>
      <c r="E16" s="119">
        <v>11</v>
      </c>
      <c r="F16" s="119">
        <v>2003</v>
      </c>
      <c r="G16" s="119" t="s">
        <v>2675</v>
      </c>
      <c r="H16" s="548">
        <v>7000</v>
      </c>
      <c r="I16" s="550" t="s">
        <v>2688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8"/>
      <c r="I17" s="548"/>
    </row>
    <row r="18" spans="1:10" s="295" customFormat="1" x14ac:dyDescent="0.25">
      <c r="A18" s="295" t="s">
        <v>2689</v>
      </c>
      <c r="D18" s="545"/>
      <c r="E18" s="545"/>
      <c r="F18" s="545"/>
    </row>
    <row r="19" spans="1:10" x14ac:dyDescent="0.25">
      <c r="A19" s="111" t="s">
        <v>2690</v>
      </c>
      <c r="B19" s="111" t="s">
        <v>2691</v>
      </c>
      <c r="C19" s="119" t="s">
        <v>2684</v>
      </c>
      <c r="D19" s="119">
        <v>28</v>
      </c>
      <c r="E19" s="119">
        <v>11</v>
      </c>
      <c r="F19" s="119">
        <v>2003</v>
      </c>
      <c r="G19" s="119" t="s">
        <v>2675</v>
      </c>
      <c r="H19" s="548">
        <v>35525</v>
      </c>
      <c r="I19" s="550" t="s">
        <v>2692</v>
      </c>
      <c r="J19" s="111">
        <v>3314</v>
      </c>
    </row>
    <row r="20" spans="1:10" x14ac:dyDescent="0.25">
      <c r="A20" s="111" t="s">
        <v>2693</v>
      </c>
      <c r="B20" s="111" t="s">
        <v>2694</v>
      </c>
      <c r="C20" s="119" t="s">
        <v>2674</v>
      </c>
      <c r="D20" s="119">
        <v>28</v>
      </c>
      <c r="E20" s="119">
        <v>11</v>
      </c>
      <c r="F20" s="119">
        <v>2003</v>
      </c>
      <c r="G20" s="119" t="s">
        <v>2675</v>
      </c>
      <c r="H20" s="548">
        <v>20500</v>
      </c>
      <c r="I20" s="548"/>
      <c r="J20" s="111">
        <v>3422</v>
      </c>
    </row>
    <row r="21" spans="1:10" x14ac:dyDescent="0.25">
      <c r="D21" s="119"/>
      <c r="E21" s="119"/>
      <c r="F21" s="119"/>
      <c r="H21" s="548"/>
      <c r="I21" s="548"/>
    </row>
    <row r="22" spans="1:10" s="295" customFormat="1" x14ac:dyDescent="0.25">
      <c r="A22" s="295" t="s">
        <v>2695</v>
      </c>
      <c r="D22" s="545"/>
      <c r="E22" s="545"/>
      <c r="F22" s="545"/>
    </row>
    <row r="23" spans="1:10" x14ac:dyDescent="0.25">
      <c r="A23" s="111" t="s">
        <v>2696</v>
      </c>
      <c r="B23" s="111" t="s">
        <v>2697</v>
      </c>
      <c r="C23" s="119" t="s">
        <v>2684</v>
      </c>
      <c r="D23" s="119">
        <v>27</v>
      </c>
      <c r="E23" s="119">
        <v>11</v>
      </c>
      <c r="F23" s="119">
        <v>2003</v>
      </c>
      <c r="G23" s="119" t="s">
        <v>2675</v>
      </c>
      <c r="H23" s="548">
        <v>6000</v>
      </c>
      <c r="I23" s="548"/>
      <c r="J23" s="111">
        <v>3418</v>
      </c>
    </row>
    <row r="24" spans="1:10" x14ac:dyDescent="0.25">
      <c r="D24" s="119"/>
      <c r="E24" s="119"/>
      <c r="F24" s="119"/>
      <c r="H24" s="548"/>
      <c r="I24" s="548"/>
    </row>
    <row r="25" spans="1:10" x14ac:dyDescent="0.25">
      <c r="A25" s="295" t="s">
        <v>2698</v>
      </c>
      <c r="D25" s="119"/>
      <c r="E25" s="119"/>
      <c r="F25" s="119"/>
    </row>
    <row r="26" spans="1:10" x14ac:dyDescent="0.25">
      <c r="A26" s="111" t="s">
        <v>2699</v>
      </c>
      <c r="B26" s="111" t="s">
        <v>2697</v>
      </c>
      <c r="C26" s="119" t="s">
        <v>2684</v>
      </c>
      <c r="D26" s="119">
        <v>26</v>
      </c>
      <c r="E26" s="119">
        <v>11</v>
      </c>
      <c r="F26" s="119">
        <v>2003</v>
      </c>
      <c r="G26" s="119" t="s">
        <v>2675</v>
      </c>
      <c r="H26" s="548">
        <v>6000</v>
      </c>
      <c r="I26" s="548"/>
      <c r="J26" s="111">
        <v>3320</v>
      </c>
    </row>
    <row r="27" spans="1:10" x14ac:dyDescent="0.25">
      <c r="A27" s="111" t="s">
        <v>2696</v>
      </c>
      <c r="B27" s="111" t="s">
        <v>2677</v>
      </c>
      <c r="C27" s="119" t="s">
        <v>2700</v>
      </c>
      <c r="D27" s="119">
        <v>26</v>
      </c>
      <c r="E27" s="119">
        <v>11</v>
      </c>
      <c r="F27" s="119">
        <v>2003</v>
      </c>
      <c r="G27" s="119" t="s">
        <v>2675</v>
      </c>
      <c r="H27" s="548">
        <v>6000</v>
      </c>
      <c r="I27" s="548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8"/>
      <c r="I28" s="548"/>
    </row>
    <row r="29" spans="1:10" s="295" customFormat="1" x14ac:dyDescent="0.25">
      <c r="A29" s="295" t="s">
        <v>2701</v>
      </c>
      <c r="D29" s="545"/>
      <c r="E29" s="545"/>
      <c r="F29" s="545"/>
    </row>
    <row r="30" spans="1:10" x14ac:dyDescent="0.25">
      <c r="A30" s="111" t="s">
        <v>2696</v>
      </c>
      <c r="B30" s="111" t="s">
        <v>2702</v>
      </c>
      <c r="C30" s="119" t="s">
        <v>2703</v>
      </c>
      <c r="D30" s="119">
        <v>27</v>
      </c>
      <c r="E30" s="119">
        <v>11</v>
      </c>
      <c r="F30" s="119">
        <v>2003</v>
      </c>
      <c r="G30" s="119" t="s">
        <v>2675</v>
      </c>
      <c r="H30" s="548">
        <v>25500</v>
      </c>
      <c r="I30" s="548" t="s">
        <v>2704</v>
      </c>
      <c r="J30" s="111">
        <v>3321</v>
      </c>
    </row>
    <row r="31" spans="1:10" x14ac:dyDescent="0.25">
      <c r="A31" s="111" t="s">
        <v>2705</v>
      </c>
      <c r="B31" s="111" t="s">
        <v>2706</v>
      </c>
      <c r="C31" s="119" t="s">
        <v>2684</v>
      </c>
      <c r="D31" s="119">
        <v>27</v>
      </c>
      <c r="E31" s="119">
        <v>11</v>
      </c>
      <c r="F31" s="119">
        <v>2003</v>
      </c>
      <c r="G31" s="119" t="s">
        <v>2675</v>
      </c>
      <c r="H31" s="548">
        <v>25500</v>
      </c>
      <c r="I31" s="548" t="s">
        <v>216</v>
      </c>
      <c r="J31" s="111">
        <v>3321</v>
      </c>
    </row>
    <row r="32" spans="1:10" ht="31.5" x14ac:dyDescent="0.25">
      <c r="A32" s="111" t="s">
        <v>2707</v>
      </c>
      <c r="B32" s="111" t="s">
        <v>2708</v>
      </c>
      <c r="C32" s="119" t="s">
        <v>2684</v>
      </c>
      <c r="D32" s="119">
        <v>27</v>
      </c>
      <c r="E32" s="119">
        <v>11</v>
      </c>
      <c r="F32" s="119">
        <v>2003</v>
      </c>
      <c r="G32" s="119" t="s">
        <v>2675</v>
      </c>
      <c r="H32" s="548">
        <v>7000</v>
      </c>
      <c r="I32" s="550" t="s">
        <v>2709</v>
      </c>
      <c r="J32" s="111">
        <v>3321</v>
      </c>
    </row>
    <row r="33" spans="1:10" x14ac:dyDescent="0.25">
      <c r="A33" s="103" t="s">
        <v>2710</v>
      </c>
      <c r="B33" s="103" t="s">
        <v>2711</v>
      </c>
      <c r="C33" s="119" t="s">
        <v>2678</v>
      </c>
      <c r="D33" s="119">
        <v>27</v>
      </c>
      <c r="E33" s="119">
        <v>11</v>
      </c>
      <c r="F33" s="119">
        <v>2003</v>
      </c>
      <c r="G33" s="119" t="s">
        <v>2675</v>
      </c>
      <c r="H33" s="548">
        <v>45500</v>
      </c>
      <c r="I33" s="548" t="s">
        <v>2712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8"/>
      <c r="I34" s="548"/>
    </row>
    <row r="35" spans="1:10" s="295" customFormat="1" x14ac:dyDescent="0.25">
      <c r="A35" s="295" t="s">
        <v>2701</v>
      </c>
      <c r="D35" s="545"/>
      <c r="E35" s="545"/>
      <c r="F35" s="545"/>
    </row>
    <row r="36" spans="1:10" x14ac:dyDescent="0.25">
      <c r="A36" s="111" t="s">
        <v>2713</v>
      </c>
      <c r="B36" s="111" t="s">
        <v>2714</v>
      </c>
      <c r="C36" s="119" t="s">
        <v>2674</v>
      </c>
      <c r="D36" s="119">
        <v>26</v>
      </c>
      <c r="E36" s="119">
        <v>11</v>
      </c>
      <c r="F36" s="119">
        <v>2003</v>
      </c>
      <c r="G36" s="119" t="s">
        <v>2675</v>
      </c>
      <c r="H36" s="548">
        <v>35500</v>
      </c>
      <c r="I36" s="548"/>
      <c r="J36" s="111">
        <v>3320</v>
      </c>
    </row>
    <row r="37" spans="1:10" x14ac:dyDescent="0.25">
      <c r="A37" s="111" t="s">
        <v>2715</v>
      </c>
      <c r="B37" s="111" t="s">
        <v>2716</v>
      </c>
      <c r="C37" s="119" t="s">
        <v>2674</v>
      </c>
      <c r="D37" s="119">
        <v>28</v>
      </c>
      <c r="E37" s="119">
        <v>11</v>
      </c>
      <c r="F37" s="119">
        <v>2003</v>
      </c>
      <c r="G37" s="119" t="s">
        <v>2675</v>
      </c>
      <c r="H37" s="548">
        <v>32500</v>
      </c>
      <c r="I37" s="548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8"/>
      <c r="I38" s="548"/>
    </row>
    <row r="39" spans="1:10" s="295" customFormat="1" x14ac:dyDescent="0.25">
      <c r="A39" s="295" t="s">
        <v>2717</v>
      </c>
      <c r="D39" s="545"/>
      <c r="E39" s="545"/>
      <c r="F39" s="545"/>
    </row>
    <row r="40" spans="1:10" ht="31.5" x14ac:dyDescent="0.25">
      <c r="A40" s="111" t="s">
        <v>2718</v>
      </c>
      <c r="B40" s="111" t="s">
        <v>2719</v>
      </c>
      <c r="C40" s="119" t="s">
        <v>2684</v>
      </c>
      <c r="D40" s="119">
        <v>27</v>
      </c>
      <c r="E40" s="119">
        <v>11</v>
      </c>
      <c r="F40" s="119">
        <v>2003</v>
      </c>
      <c r="G40" s="119" t="s">
        <v>2675</v>
      </c>
      <c r="H40" s="548">
        <v>7000</v>
      </c>
      <c r="I40" s="549" t="s">
        <v>2709</v>
      </c>
      <c r="J40" s="111">
        <v>3321</v>
      </c>
    </row>
    <row r="41" spans="1:10" x14ac:dyDescent="0.25">
      <c r="A41" s="111" t="s">
        <v>2720</v>
      </c>
      <c r="B41" s="111" t="s">
        <v>2697</v>
      </c>
      <c r="C41" s="119" t="s">
        <v>2684</v>
      </c>
      <c r="D41" s="119">
        <v>27</v>
      </c>
      <c r="E41" s="119">
        <v>11</v>
      </c>
      <c r="F41" s="119">
        <v>2003</v>
      </c>
      <c r="G41" s="119" t="s">
        <v>2675</v>
      </c>
      <c r="H41" s="548">
        <v>6600</v>
      </c>
      <c r="I41" s="548" t="s">
        <v>2721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8"/>
      <c r="I42" s="548"/>
    </row>
    <row r="43" spans="1:10" s="295" customFormat="1" x14ac:dyDescent="0.25">
      <c r="A43" s="295" t="s">
        <v>2722</v>
      </c>
      <c r="D43" s="545"/>
      <c r="E43" s="545"/>
      <c r="F43" s="545"/>
    </row>
    <row r="44" spans="1:10" x14ac:dyDescent="0.25">
      <c r="A44" s="111" t="s">
        <v>2723</v>
      </c>
      <c r="B44" s="111" t="s">
        <v>2724</v>
      </c>
      <c r="C44" s="119" t="s">
        <v>2684</v>
      </c>
      <c r="D44" s="119">
        <v>26</v>
      </c>
      <c r="E44" s="119">
        <v>11</v>
      </c>
      <c r="F44" s="119">
        <v>2003</v>
      </c>
      <c r="G44" s="119" t="s">
        <v>2675</v>
      </c>
      <c r="H44" s="548">
        <v>6000</v>
      </c>
      <c r="I44" s="550" t="s">
        <v>2685</v>
      </c>
      <c r="J44" s="111">
        <v>3320</v>
      </c>
    </row>
    <row r="45" spans="1:10" x14ac:dyDescent="0.25">
      <c r="A45" s="111" t="s">
        <v>2725</v>
      </c>
      <c r="B45" s="111" t="s">
        <v>2724</v>
      </c>
      <c r="C45" s="119" t="s">
        <v>2674</v>
      </c>
      <c r="D45" s="119">
        <v>28</v>
      </c>
      <c r="E45" s="119">
        <v>11</v>
      </c>
      <c r="F45" s="119">
        <v>2003</v>
      </c>
      <c r="G45" s="119" t="s">
        <v>2675</v>
      </c>
      <c r="H45" s="548">
        <v>8500</v>
      </c>
      <c r="I45" s="548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2726</v>
      </c>
      <c r="D47" s="545"/>
      <c r="E47" s="545"/>
      <c r="F47" s="545"/>
    </row>
    <row r="48" spans="1:10" x14ac:dyDescent="0.25">
      <c r="A48" s="111" t="s">
        <v>2727</v>
      </c>
      <c r="B48" s="111" t="s">
        <v>2849</v>
      </c>
      <c r="C48" s="119" t="s">
        <v>2684</v>
      </c>
      <c r="D48" s="119">
        <v>28</v>
      </c>
      <c r="E48" s="119">
        <v>11</v>
      </c>
      <c r="F48" s="119">
        <v>2003</v>
      </c>
      <c r="G48" s="119" t="s">
        <v>2675</v>
      </c>
      <c r="H48" s="548">
        <v>12500</v>
      </c>
      <c r="I48" s="548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2728</v>
      </c>
      <c r="D50" s="119"/>
      <c r="E50" s="119"/>
      <c r="F50" s="119"/>
    </row>
    <row r="51" spans="1:10" x14ac:dyDescent="0.25">
      <c r="A51" s="111" t="s">
        <v>2729</v>
      </c>
      <c r="B51" s="111" t="s">
        <v>2730</v>
      </c>
      <c r="C51" s="119" t="s">
        <v>2731</v>
      </c>
      <c r="D51" s="119">
        <v>27</v>
      </c>
      <c r="E51" s="119">
        <v>11</v>
      </c>
      <c r="F51" s="119">
        <v>2003</v>
      </c>
      <c r="G51" s="119" t="s">
        <v>2675</v>
      </c>
      <c r="H51" s="551">
        <v>18000</v>
      </c>
      <c r="I51" s="551"/>
      <c r="J51" s="111">
        <v>3321</v>
      </c>
    </row>
    <row r="52" spans="1:10" x14ac:dyDescent="0.25">
      <c r="A52" s="111" t="s">
        <v>2732</v>
      </c>
      <c r="B52" s="111" t="s">
        <v>2733</v>
      </c>
      <c r="C52" s="119" t="s">
        <v>2731</v>
      </c>
      <c r="D52" s="119">
        <v>26</v>
      </c>
      <c r="E52" s="119">
        <v>11</v>
      </c>
      <c r="F52" s="119">
        <v>2003</v>
      </c>
      <c r="G52" s="119" t="s">
        <v>2675</v>
      </c>
      <c r="H52" s="551">
        <v>85000</v>
      </c>
      <c r="I52" s="551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2734</v>
      </c>
      <c r="C54" s="545"/>
      <c r="D54" s="545"/>
      <c r="E54" s="545"/>
      <c r="F54" s="545"/>
      <c r="G54" s="545"/>
    </row>
    <row r="55" spans="1:10" x14ac:dyDescent="0.25">
      <c r="A55" s="111" t="s">
        <v>2735</v>
      </c>
      <c r="B55" s="111" t="s">
        <v>2736</v>
      </c>
      <c r="C55" s="119" t="s">
        <v>2737</v>
      </c>
      <c r="D55" s="119">
        <v>27</v>
      </c>
      <c r="E55" s="119">
        <v>11</v>
      </c>
      <c r="F55" s="119">
        <v>2003</v>
      </c>
      <c r="G55" s="119" t="s">
        <v>2675</v>
      </c>
      <c r="H55" s="551">
        <v>7000</v>
      </c>
      <c r="I55" s="552" t="s">
        <v>2738</v>
      </c>
      <c r="J55" s="111">
        <v>3418</v>
      </c>
    </row>
    <row r="56" spans="1:10" x14ac:dyDescent="0.25">
      <c r="A56" s="111" t="s">
        <v>2739</v>
      </c>
      <c r="B56" s="111" t="s">
        <v>2687</v>
      </c>
      <c r="C56" s="119" t="s">
        <v>2700</v>
      </c>
      <c r="D56" s="119">
        <v>27</v>
      </c>
      <c r="E56" s="119">
        <v>11</v>
      </c>
      <c r="F56" s="119">
        <v>2003</v>
      </c>
      <c r="G56" s="119" t="s">
        <v>2675</v>
      </c>
      <c r="H56" s="551">
        <v>5000</v>
      </c>
      <c r="I56" s="553" t="s">
        <v>2685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51"/>
      <c r="I57" s="553"/>
    </row>
    <row r="58" spans="1:10" s="554" customFormat="1" x14ac:dyDescent="0.25">
      <c r="A58" s="554" t="s">
        <v>2740</v>
      </c>
      <c r="C58" s="555"/>
      <c r="D58" s="555"/>
      <c r="E58" s="555"/>
      <c r="F58" s="555"/>
      <c r="G58" s="555"/>
      <c r="H58" s="556">
        <v>37296</v>
      </c>
      <c r="I58" s="557"/>
    </row>
    <row r="59" spans="1:10" x14ac:dyDescent="0.25">
      <c r="D59" s="119"/>
      <c r="E59" s="119"/>
      <c r="F59" s="119"/>
    </row>
    <row r="60" spans="1:10" ht="16.5" thickBot="1" x14ac:dyDescent="0.3">
      <c r="H60" s="558">
        <f>SUM(H8:H59)</f>
        <v>505421</v>
      </c>
      <c r="I60" s="559"/>
    </row>
    <row r="61" spans="1:10" ht="16.5" thickTop="1" x14ac:dyDescent="0.25"/>
    <row r="62" spans="1:10" x14ac:dyDescent="0.25">
      <c r="A62" s="560" t="s">
        <v>2741</v>
      </c>
    </row>
    <row r="63" spans="1:10" x14ac:dyDescent="0.25">
      <c r="A63" s="111" t="s">
        <v>2742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21" sqref="F21"/>
    </sheetView>
  </sheetViews>
  <sheetFormatPr baseColWidth="10" defaultRowHeight="12.75" x14ac:dyDescent="0.2"/>
  <cols>
    <col min="1" max="1" width="38.42578125" style="536" bestFit="1" customWidth="1"/>
    <col min="2" max="2" width="17.7109375" style="537" bestFit="1" customWidth="1"/>
    <col min="3" max="3" width="13.7109375" style="537" bestFit="1" customWidth="1"/>
    <col min="4" max="4" width="13.7109375" style="537" customWidth="1"/>
    <col min="5" max="5" width="16.5703125" style="537" bestFit="1" customWidth="1"/>
    <col min="6" max="6" width="16.5703125" style="537" customWidth="1"/>
    <col min="7" max="7" width="16.28515625" style="537" bestFit="1" customWidth="1"/>
    <col min="8" max="8" width="11.42578125" style="536"/>
    <col min="9" max="9" width="14.28515625" style="536" bestFit="1" customWidth="1"/>
    <col min="10" max="10" width="11.42578125" style="536"/>
    <col min="11" max="11" width="12.85546875" style="536" bestFit="1" customWidth="1"/>
    <col min="12" max="16384" width="11.42578125" style="536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2868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30 de Noviembre del 2015)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30"/>
      <c r="C4" s="530"/>
      <c r="D4" s="530"/>
      <c r="E4" s="530"/>
      <c r="F4" s="530"/>
      <c r="G4" s="530"/>
    </row>
    <row r="5" spans="1:11" ht="15.75" x14ac:dyDescent="0.25">
      <c r="A5" s="378"/>
      <c r="B5" s="542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90" t="s">
        <v>2663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Octubre 2015</v>
      </c>
      <c r="F6" s="10" t="str">
        <f>+'Equipos de Producción'!$T$6</f>
        <v>Deprec. a Registrar Octubre 2015</v>
      </c>
      <c r="G6" s="490" t="s">
        <v>2662</v>
      </c>
    </row>
    <row r="7" spans="1:11" x14ac:dyDescent="0.2">
      <c r="A7" s="536" t="s">
        <v>2661</v>
      </c>
      <c r="B7" s="537">
        <f>+'Equipos de Producción'!N48</f>
        <v>4011408.45</v>
      </c>
      <c r="C7" s="537">
        <f>+'Equipos de Producción'!Q48</f>
        <v>29269.833749999998</v>
      </c>
      <c r="D7" s="537">
        <f>+'Equipos de Producción'!R48</f>
        <v>2196941.96325</v>
      </c>
      <c r="E7" s="537">
        <f>+'Equipos de Producción'!S48</f>
        <v>2516201.8428333332</v>
      </c>
      <c r="F7" s="537">
        <f>+'Equipos de Producción'!T48</f>
        <v>319259.87958333333</v>
      </c>
      <c r="G7" s="537">
        <f>+'Equipos de Producción'!U48</f>
        <v>1495206.607166667</v>
      </c>
      <c r="I7" s="537"/>
      <c r="K7" s="537"/>
    </row>
    <row r="8" spans="1:11" x14ac:dyDescent="0.2">
      <c r="A8" s="536" t="s">
        <v>2664</v>
      </c>
      <c r="B8" s="537">
        <f>+'Equipos Educativos'!N9</f>
        <v>77880</v>
      </c>
      <c r="C8" s="537">
        <f>+'Equipos Educativos'!Q9</f>
        <v>648.99166666666667</v>
      </c>
      <c r="D8" s="537">
        <f>+'Equipos Educativos'!R9</f>
        <v>5840.9250000000002</v>
      </c>
      <c r="E8" s="537">
        <f>+'Equipos Educativos'!S9</f>
        <v>12979.833333333334</v>
      </c>
      <c r="F8" s="537">
        <f>+'Equipos Educativos'!T9</f>
        <v>7138.9083333333338</v>
      </c>
      <c r="G8" s="537">
        <f>+'Equipos Educativos'!U9</f>
        <v>64900.166666666664</v>
      </c>
      <c r="I8" s="537"/>
      <c r="K8" s="537"/>
    </row>
    <row r="9" spans="1:11" x14ac:dyDescent="0.2">
      <c r="A9" s="536" t="s">
        <v>2660</v>
      </c>
      <c r="B9" s="537">
        <f>+'Equipos de Transporte'!N20</f>
        <v>10920054.640000001</v>
      </c>
      <c r="C9" s="537">
        <f>+'Equipos de Transporte'!R20</f>
        <v>100697.75833333333</v>
      </c>
      <c r="D9" s="537">
        <f>+'Equipos de Transporte'!S20</f>
        <v>8031333.9183333302</v>
      </c>
      <c r="E9" s="537">
        <f>+'Equipos de Transporte'!T20</f>
        <v>9023696.8766666669</v>
      </c>
      <c r="F9" s="537">
        <f>+'Equipos de Transporte'!U20</f>
        <v>992362.95833333337</v>
      </c>
      <c r="G9" s="537">
        <f>+'Equipos de Transporte'!V20</f>
        <v>1896357.7633333332</v>
      </c>
      <c r="I9" s="537"/>
      <c r="K9" s="537"/>
    </row>
    <row r="10" spans="1:11" x14ac:dyDescent="0.2">
      <c r="A10" s="536" t="s">
        <v>2659</v>
      </c>
      <c r="B10" s="537">
        <f>+'Eq. Computos '!P448</f>
        <v>19854836.517990001</v>
      </c>
      <c r="C10" s="537">
        <f>+'Eq. Computos '!T448</f>
        <v>234573.4883275</v>
      </c>
      <c r="D10" s="537">
        <f>+'Eq. Computos '!U448</f>
        <v>15697845.749063609</v>
      </c>
      <c r="E10" s="537">
        <f>+'Eq. Computos '!V448</f>
        <v>17788936.804867778</v>
      </c>
      <c r="F10" s="537">
        <f>+'Eq. Computos '!W448</f>
        <v>2091091.0558041662</v>
      </c>
      <c r="G10" s="537">
        <f>+'Eq. Computos '!X448</f>
        <v>3074968.7320111115</v>
      </c>
      <c r="I10" s="537"/>
      <c r="K10" s="537"/>
    </row>
    <row r="11" spans="1:11" x14ac:dyDescent="0.2">
      <c r="A11" s="536" t="s">
        <v>2658</v>
      </c>
      <c r="B11" s="537">
        <f>+'Equipos Médicos'!N93</f>
        <v>904325.46000000008</v>
      </c>
      <c r="C11" s="537">
        <f>+'Equipos Médicos'!P93</f>
        <v>2871.8263333333343</v>
      </c>
      <c r="D11" s="537">
        <f>+'Equipos Médicos'!Q93</f>
        <v>824700.73866666702</v>
      </c>
      <c r="E11" s="537">
        <f>+'Equipos Médicos'!R93</f>
        <v>856290.82833333348</v>
      </c>
      <c r="F11" s="537">
        <f>+'Equipos Médicos'!S93</f>
        <v>31590.089666666674</v>
      </c>
      <c r="G11" s="537">
        <f>+'Equipos Médicos'!T93</f>
        <v>48034.631666666624</v>
      </c>
      <c r="I11" s="537"/>
      <c r="K11" s="537"/>
    </row>
    <row r="12" spans="1:11" x14ac:dyDescent="0.2">
      <c r="A12" s="536" t="s">
        <v>2657</v>
      </c>
      <c r="B12" s="537">
        <f>+'Equipos de Comunicaciones'!M91</f>
        <v>4582210.8392499993</v>
      </c>
      <c r="C12" s="537">
        <f>+'Equipos de Comunicaciones'!O91</f>
        <v>64881.588003055549</v>
      </c>
      <c r="D12" s="537">
        <f>+'Equipos de Comunicaciones'!P91</f>
        <v>1471026.729175417</v>
      </c>
      <c r="E12" s="537">
        <f>+'Equipos de Comunicaciones'!Q91</f>
        <v>2695660.7057177774</v>
      </c>
      <c r="F12" s="537">
        <f>+'Equipos de Comunicaciones'!R91</f>
        <v>1225662.3152090276</v>
      </c>
      <c r="G12" s="537">
        <f>+'Equipos de Comunicaciones'!S91</f>
        <v>1886550.1335322221</v>
      </c>
      <c r="I12" s="537"/>
      <c r="K12" s="537"/>
    </row>
    <row r="13" spans="1:11" x14ac:dyDescent="0.2">
      <c r="A13" s="536" t="s">
        <v>2656</v>
      </c>
      <c r="B13" s="537">
        <f>+'Eq. y Muebles de Ofic.'!N1008</f>
        <v>10039256.258318713</v>
      </c>
      <c r="C13" s="537">
        <f>+'Eq. y Muebles de Ofic.'!R1008</f>
        <v>80228.098474878192</v>
      </c>
      <c r="D13" s="537">
        <f>+'Eq. y Muebles de Ofic.'!S1008</f>
        <v>5660724.3768106084</v>
      </c>
      <c r="E13" s="537">
        <f>+'Eq. y Muebles de Ofic.'!T1008</f>
        <v>6286481.4381966898</v>
      </c>
      <c r="F13" s="537">
        <f>+'Eq. y Muebles de Ofic.'!U1008</f>
        <v>625714.86017826421</v>
      </c>
      <c r="G13" s="537">
        <f>+'Eq. y Muebles de Ofic.'!V1008</f>
        <v>3752774.8201220282</v>
      </c>
      <c r="I13" s="537"/>
      <c r="K13" s="537"/>
    </row>
    <row r="14" spans="1:11" x14ac:dyDescent="0.2">
      <c r="A14" s="536" t="s">
        <v>2655</v>
      </c>
      <c r="B14" s="537">
        <f>+'Equipos Varios'!N13</f>
        <v>102047.94</v>
      </c>
      <c r="C14" s="537">
        <f>+'Equipos Varios'!Q13</f>
        <v>1225.7323333333334</v>
      </c>
      <c r="D14" s="537">
        <f>+'Equipos Varios'!R13</f>
        <v>28499</v>
      </c>
      <c r="E14" s="537">
        <f>+'Equipos Varios'!S13</f>
        <v>39580.597000000002</v>
      </c>
      <c r="F14" s="537">
        <f>+'Equipos Varios'!T13</f>
        <v>11081.597</v>
      </c>
      <c r="G14" s="537">
        <f>+'Equipos Varios'!U13</f>
        <v>62467.343000000001</v>
      </c>
      <c r="I14" s="537"/>
      <c r="K14" s="537"/>
    </row>
    <row r="15" spans="1:11" x14ac:dyDescent="0.2">
      <c r="B15" s="541">
        <f t="shared" ref="B15:G15" si="0">SUM(B7:B14)</f>
        <v>50492020.105558708</v>
      </c>
      <c r="C15" s="541">
        <f t="shared" si="0"/>
        <v>514397.31722210039</v>
      </c>
      <c r="D15" s="541">
        <f t="shared" si="0"/>
        <v>33916913.400299639</v>
      </c>
      <c r="E15" s="541">
        <f t="shared" si="0"/>
        <v>39219828.926948912</v>
      </c>
      <c r="F15" s="541">
        <f t="shared" si="0"/>
        <v>5303901.6641081246</v>
      </c>
      <c r="G15" s="541">
        <f t="shared" si="0"/>
        <v>12281260.197498696</v>
      </c>
      <c r="I15" s="537"/>
      <c r="K15" s="537"/>
    </row>
    <row r="16" spans="1:11" x14ac:dyDescent="0.2">
      <c r="I16" s="537"/>
      <c r="K16" s="537"/>
    </row>
    <row r="17" spans="1:11" x14ac:dyDescent="0.2">
      <c r="A17" s="536" t="s">
        <v>2654</v>
      </c>
      <c r="B17" s="540">
        <v>21160000</v>
      </c>
      <c r="C17" s="540">
        <v>0</v>
      </c>
      <c r="D17" s="540">
        <v>0</v>
      </c>
      <c r="E17" s="540">
        <v>0</v>
      </c>
      <c r="F17" s="540">
        <v>0</v>
      </c>
      <c r="G17" s="540">
        <f>+B17</f>
        <v>21160000</v>
      </c>
      <c r="I17" s="537"/>
      <c r="K17" s="537"/>
    </row>
    <row r="18" spans="1:11" x14ac:dyDescent="0.2">
      <c r="I18" s="537"/>
      <c r="K18" s="537"/>
    </row>
    <row r="19" spans="1:11" x14ac:dyDescent="0.2">
      <c r="A19" s="536" t="s">
        <v>2653</v>
      </c>
      <c r="B19" s="540">
        <f>Edificaciones!L7</f>
        <v>44913657.340000004</v>
      </c>
      <c r="C19" s="540">
        <f>Edificaciones!N7</f>
        <v>74856.093900000007</v>
      </c>
      <c r="D19" s="540">
        <f>+Edificaciones!O7</f>
        <v>9881004.3948000018</v>
      </c>
      <c r="E19" s="540">
        <f>Edificaciones!P7</f>
        <v>10629565.333800001</v>
      </c>
      <c r="F19" s="540">
        <f>+Edificaciones!Q7</f>
        <v>748560.93899999931</v>
      </c>
      <c r="G19" s="540">
        <f>Edificaciones!R7</f>
        <v>34284092.006200001</v>
      </c>
      <c r="I19" s="537"/>
      <c r="K19" s="537"/>
    </row>
    <row r="20" spans="1:11" x14ac:dyDescent="0.2">
      <c r="I20" s="537"/>
      <c r="K20" s="537"/>
    </row>
    <row r="21" spans="1:11" x14ac:dyDescent="0.2">
      <c r="I21" s="537"/>
      <c r="K21" s="537"/>
    </row>
    <row r="22" spans="1:11" x14ac:dyDescent="0.2">
      <c r="A22" s="536" t="s">
        <v>2652</v>
      </c>
      <c r="B22" s="540">
        <f>'Obras de Arte'!H60</f>
        <v>505421</v>
      </c>
      <c r="C22" s="540">
        <v>0</v>
      </c>
      <c r="D22" s="540">
        <v>0</v>
      </c>
      <c r="E22" s="540">
        <v>0</v>
      </c>
      <c r="F22" s="540">
        <v>0</v>
      </c>
      <c r="G22" s="540">
        <v>0</v>
      </c>
      <c r="I22" s="537"/>
      <c r="K22" s="537"/>
    </row>
    <row r="23" spans="1:11" x14ac:dyDescent="0.2">
      <c r="I23" s="537"/>
      <c r="K23" s="537"/>
    </row>
    <row r="24" spans="1:11" x14ac:dyDescent="0.2">
      <c r="I24" s="537"/>
      <c r="K24" s="537"/>
    </row>
    <row r="25" spans="1:11" x14ac:dyDescent="0.2">
      <c r="A25" s="536" t="s">
        <v>2651</v>
      </c>
      <c r="B25" s="540">
        <v>42963679.520000003</v>
      </c>
      <c r="C25" s="540">
        <v>0</v>
      </c>
      <c r="D25" s="540"/>
      <c r="E25" s="540">
        <v>1495683.68</v>
      </c>
      <c r="F25" s="540"/>
      <c r="G25" s="540">
        <f>B25-E25</f>
        <v>41467995.840000004</v>
      </c>
      <c r="I25" s="537"/>
      <c r="K25" s="537"/>
    </row>
    <row r="26" spans="1:11" x14ac:dyDescent="0.2">
      <c r="I26" s="537"/>
      <c r="K26" s="537"/>
    </row>
    <row r="27" spans="1:11" x14ac:dyDescent="0.2">
      <c r="A27" s="536" t="s">
        <v>2650</v>
      </c>
      <c r="B27" s="540">
        <v>4514853.45</v>
      </c>
      <c r="C27" s="540">
        <f>B27/12</f>
        <v>376237.78750000003</v>
      </c>
      <c r="D27" s="540"/>
      <c r="E27" s="540">
        <f>C27</f>
        <v>376237.78750000003</v>
      </c>
      <c r="F27" s="540"/>
      <c r="G27" s="540">
        <f>B27-E27</f>
        <v>4138615.6625000001</v>
      </c>
      <c r="I27" s="537"/>
      <c r="K27" s="537"/>
    </row>
    <row r="28" spans="1:11" x14ac:dyDescent="0.2">
      <c r="I28" s="537"/>
      <c r="K28" s="537"/>
    </row>
    <row r="29" spans="1:11" s="538" customFormat="1" ht="13.5" thickBot="1" x14ac:dyDescent="0.25">
      <c r="B29" s="539">
        <f t="shared" ref="B29:G29" si="1">+B15+B17+B19+B22+B25+B27</f>
        <v>164549631.4155587</v>
      </c>
      <c r="C29" s="539">
        <f t="shared" si="1"/>
        <v>965491.19862210052</v>
      </c>
      <c r="D29" s="539">
        <f t="shared" si="1"/>
        <v>43797917.795099638</v>
      </c>
      <c r="E29" s="539">
        <f t="shared" si="1"/>
        <v>51721315.728248917</v>
      </c>
      <c r="F29" s="539">
        <f t="shared" si="1"/>
        <v>6052462.6031081239</v>
      </c>
      <c r="G29" s="539">
        <f t="shared" si="1"/>
        <v>113331963.70619869</v>
      </c>
      <c r="I29" s="537"/>
      <c r="K29" s="537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L1" zoomScaleNormal="100" workbookViewId="0">
      <selection activeCell="O1" sqref="O1:O1048576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30 de Noviembre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+'Equipos de Producción'!W4</f>
        <v>42338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6.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Octubre 2015</v>
      </c>
      <c r="T7" s="10" t="str">
        <f>+'Equipos de Producción'!$T$6</f>
        <v>Deprec. a Registrar Octubre 2015</v>
      </c>
      <c r="U7" s="10" t="s">
        <v>24</v>
      </c>
      <c r="V7" s="486" t="s">
        <v>25</v>
      </c>
      <c r="W7" s="491"/>
      <c r="X7" s="491"/>
      <c r="Y7" s="491"/>
      <c r="Z7" s="387" t="s">
        <v>26</v>
      </c>
    </row>
    <row r="8" spans="1:26" ht="28.5" customHeight="1" thickBot="1" x14ac:dyDescent="0.3">
      <c r="A8" s="40" t="s">
        <v>2565</v>
      </c>
      <c r="B8" s="40" t="s">
        <v>2566</v>
      </c>
      <c r="C8" s="40" t="s">
        <v>2567</v>
      </c>
      <c r="D8" s="40" t="s">
        <v>2568</v>
      </c>
      <c r="E8" s="40"/>
      <c r="F8" s="40" t="s">
        <v>2569</v>
      </c>
      <c r="G8" s="132">
        <v>41703</v>
      </c>
      <c r="H8" s="483">
        <v>24</v>
      </c>
      <c r="I8" s="483">
        <v>6</v>
      </c>
      <c r="J8" s="483">
        <v>2009</v>
      </c>
      <c r="K8" s="483" t="s">
        <v>539</v>
      </c>
      <c r="L8" s="483" t="s">
        <v>2570</v>
      </c>
      <c r="M8" s="483" t="s">
        <v>2001</v>
      </c>
      <c r="N8" s="494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12979.833333333334</v>
      </c>
      <c r="T8" s="15">
        <f>S8-R8</f>
        <v>7138.9083333333338</v>
      </c>
      <c r="U8" s="135">
        <f>N8-S8</f>
        <v>64900.166666666664</v>
      </c>
      <c r="V8" s="377" t="s">
        <v>2571</v>
      </c>
      <c r="X8" s="495">
        <f>((2011-J8)*12)+(12-I8)+1</f>
        <v>31</v>
      </c>
      <c r="Y8" s="78"/>
      <c r="Z8" s="44">
        <f>IF((DATEDIF(G8,Z$5,"m"))&gt;=60,60,(DATEDIF(G8,Z$5,"m")))</f>
        <v>20</v>
      </c>
    </row>
    <row r="9" spans="1:26" ht="16.5" thickBot="1" x14ac:dyDescent="0.3">
      <c r="B9" s="496" t="s">
        <v>2572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3"/>
      <c r="N9" s="497">
        <f>SUM(N8)</f>
        <v>77880</v>
      </c>
      <c r="O9" s="498"/>
      <c r="P9" s="498"/>
      <c r="Q9" s="497">
        <f>SUM(Q8)</f>
        <v>648.99166666666667</v>
      </c>
      <c r="R9" s="497">
        <f>SUM(R8)</f>
        <v>5840.9250000000002</v>
      </c>
      <c r="S9" s="497">
        <f>SUM(S8)</f>
        <v>12979.833333333334</v>
      </c>
      <c r="T9" s="497">
        <f>SUM(T8)</f>
        <v>7138.9083333333338</v>
      </c>
      <c r="U9" s="497">
        <f>SUM(U8)</f>
        <v>64900.166666666664</v>
      </c>
      <c r="V9" s="498"/>
    </row>
    <row r="10" spans="1:26" ht="16.5" thickTop="1" x14ac:dyDescent="0.25"/>
    <row r="11" spans="1:26" s="483" customFormat="1" x14ac:dyDescent="0.25"/>
    <row r="12" spans="1:26" s="483" customFormat="1" x14ac:dyDescent="0.25">
      <c r="Q12" s="485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N12" activePane="bottomRight" state="frozen"/>
      <selection sqref="A1:S2"/>
      <selection pane="topRight" sqref="A1:S2"/>
      <selection pane="bottomLeft" sqref="A1:S2"/>
      <selection pane="bottomRight" activeCell="V21" sqref="V21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30 de Noviembre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42338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3" t="s">
        <v>6</v>
      </c>
      <c r="P6" s="444" t="s">
        <v>20</v>
      </c>
      <c r="Q6" s="445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Octubre 2015</v>
      </c>
      <c r="U6" s="10" t="str">
        <f>+'Equipos de Producción'!$T$6</f>
        <v>Deprec. a Registrar Octubre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2479</v>
      </c>
      <c r="C7" s="78" t="s">
        <v>2480</v>
      </c>
      <c r="D7" s="78" t="s">
        <v>2481</v>
      </c>
      <c r="E7" s="7" t="s">
        <v>2482</v>
      </c>
      <c r="F7" s="78" t="s">
        <v>2483</v>
      </c>
      <c r="G7" s="132" t="str">
        <f t="shared" ref="G7:G12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2484</v>
      </c>
      <c r="N7" s="6">
        <v>903735</v>
      </c>
      <c r="O7" s="446" t="s">
        <v>565</v>
      </c>
      <c r="P7" s="447">
        <v>2</v>
      </c>
      <c r="Q7" s="447">
        <v>5</v>
      </c>
      <c r="R7" s="380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0">
        <f t="shared" ref="V7:V13" si="2">N7-T7</f>
        <v>1.0000000001164153</v>
      </c>
      <c r="X7" s="44">
        <f t="shared" ref="X7:X12" si="3">IF((DATEDIF(G7,X$4,"m"))&gt;=60,60,(DATEDIF(G7,X$4,"m")))</f>
        <v>60</v>
      </c>
    </row>
    <row r="8" spans="1:24" x14ac:dyDescent="0.25">
      <c r="A8" s="78" t="s">
        <v>2485</v>
      </c>
      <c r="B8" s="432" t="s">
        <v>2486</v>
      </c>
      <c r="C8" s="78" t="s">
        <v>2480</v>
      </c>
      <c r="D8" s="78" t="s">
        <v>2487</v>
      </c>
      <c r="E8" s="78" t="s">
        <v>2488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2484</v>
      </c>
      <c r="N8" s="6">
        <v>1247716.67</v>
      </c>
      <c r="O8" s="448" t="s">
        <v>565</v>
      </c>
      <c r="P8" s="447">
        <v>2</v>
      </c>
      <c r="Q8" s="447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22.5" customHeight="1" x14ac:dyDescent="0.25">
      <c r="A9" s="78" t="s">
        <v>2489</v>
      </c>
      <c r="B9" s="75" t="s">
        <v>2490</v>
      </c>
      <c r="C9" s="78" t="s">
        <v>2480</v>
      </c>
      <c r="D9" s="78" t="s">
        <v>2491</v>
      </c>
      <c r="E9" s="78" t="s">
        <v>2492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2484</v>
      </c>
      <c r="N9" s="6">
        <v>800171.67</v>
      </c>
      <c r="O9" s="446" t="s">
        <v>565</v>
      </c>
      <c r="P9" s="447">
        <v>2</v>
      </c>
      <c r="Q9" s="447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x14ac:dyDescent="0.25">
      <c r="A10" s="78" t="s">
        <v>2493</v>
      </c>
      <c r="B10" s="75" t="s">
        <v>2490</v>
      </c>
      <c r="C10" s="78" t="s">
        <v>2480</v>
      </c>
      <c r="D10" s="78" t="s">
        <v>2491</v>
      </c>
      <c r="E10" s="78" t="s">
        <v>2494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2484</v>
      </c>
      <c r="N10" s="6">
        <v>798171.66</v>
      </c>
      <c r="O10" s="446" t="s">
        <v>565</v>
      </c>
      <c r="P10" s="447">
        <v>2</v>
      </c>
      <c r="Q10" s="447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2495</v>
      </c>
      <c r="C11" s="78" t="s">
        <v>2496</v>
      </c>
      <c r="D11" s="78" t="s">
        <v>2497</v>
      </c>
      <c r="F11" s="75" t="s">
        <v>2498</v>
      </c>
      <c r="G11" s="132" t="str">
        <f t="shared" si="0"/>
        <v>28/9/2010</v>
      </c>
      <c r="H11" s="429">
        <v>28</v>
      </c>
      <c r="I11" s="429">
        <v>9</v>
      </c>
      <c r="J11" s="430">
        <v>2010</v>
      </c>
      <c r="K11" s="78" t="s">
        <v>57</v>
      </c>
      <c r="L11" s="431">
        <v>6301</v>
      </c>
      <c r="M11" s="78" t="s">
        <v>2484</v>
      </c>
      <c r="N11" s="6">
        <v>1729686.75</v>
      </c>
      <c r="O11" s="446" t="s">
        <v>565</v>
      </c>
      <c r="P11" s="447">
        <v>2</v>
      </c>
      <c r="Q11" s="447">
        <v>5</v>
      </c>
      <c r="R11" s="6">
        <f>((N11-1)/(Q11*12))</f>
        <v>28828.095833333333</v>
      </c>
      <c r="S11" s="5">
        <v>1470232.8875</v>
      </c>
      <c r="T11" s="6">
        <f>R11*X11</f>
        <v>1729685.75</v>
      </c>
      <c r="U11" s="15">
        <f t="shared" si="1"/>
        <v>259452.86250000005</v>
      </c>
      <c r="V11" s="6">
        <f>N11-T11</f>
        <v>1</v>
      </c>
      <c r="X11" s="44">
        <f t="shared" si="3"/>
        <v>60</v>
      </c>
    </row>
    <row r="12" spans="1:24" ht="31.5" x14ac:dyDescent="0.25">
      <c r="B12" s="75" t="s">
        <v>2495</v>
      </c>
      <c r="C12" s="78" t="s">
        <v>2496</v>
      </c>
      <c r="D12" s="78" t="s">
        <v>2497</v>
      </c>
      <c r="F12" s="75" t="s">
        <v>2498</v>
      </c>
      <c r="G12" s="132" t="str">
        <f t="shared" si="0"/>
        <v>28/9/2010</v>
      </c>
      <c r="H12" s="429">
        <v>28</v>
      </c>
      <c r="I12" s="429">
        <v>9</v>
      </c>
      <c r="J12" s="430">
        <v>2010</v>
      </c>
      <c r="K12" s="78" t="s">
        <v>57</v>
      </c>
      <c r="L12" s="431">
        <v>6301</v>
      </c>
      <c r="M12" s="78" t="s">
        <v>2484</v>
      </c>
      <c r="N12" s="6">
        <v>1729686.75</v>
      </c>
      <c r="O12" s="446" t="s">
        <v>565</v>
      </c>
      <c r="P12" s="447">
        <v>2</v>
      </c>
      <c r="Q12" s="447">
        <v>5</v>
      </c>
      <c r="R12" s="6">
        <f>((N12-1)/(Q12*12))</f>
        <v>28828.095833333333</v>
      </c>
      <c r="S12" s="5">
        <v>1470232.8875</v>
      </c>
      <c r="T12" s="6">
        <f t="shared" ref="T12" si="4">R12*X12</f>
        <v>1729685.75</v>
      </c>
      <c r="U12" s="15">
        <f t="shared" si="1"/>
        <v>259452.86250000005</v>
      </c>
      <c r="V12" s="6">
        <f t="shared" si="2"/>
        <v>1</v>
      </c>
      <c r="X12" s="44">
        <f t="shared" si="3"/>
        <v>60</v>
      </c>
    </row>
    <row r="13" spans="1:24" s="433" customFormat="1" ht="31.5" x14ac:dyDescent="0.25">
      <c r="B13" s="434" t="s">
        <v>2499</v>
      </c>
      <c r="F13" s="434"/>
      <c r="H13" s="435"/>
      <c r="I13" s="435"/>
      <c r="J13" s="436"/>
      <c r="M13" s="433" t="s">
        <v>2484</v>
      </c>
      <c r="N13" s="437">
        <v>1128390.1399999999</v>
      </c>
      <c r="O13" s="449" t="s">
        <v>2500</v>
      </c>
      <c r="P13" s="450">
        <v>2</v>
      </c>
      <c r="Q13" s="450">
        <v>5</v>
      </c>
      <c r="R13" s="437">
        <v>0</v>
      </c>
      <c r="S13" s="437">
        <v>996744.61</v>
      </c>
      <c r="T13" s="437">
        <v>996744.61</v>
      </c>
      <c r="U13" s="437">
        <f t="shared" si="1"/>
        <v>0</v>
      </c>
      <c r="V13" s="437">
        <f t="shared" si="2"/>
        <v>131645.52999999991</v>
      </c>
    </row>
    <row r="14" spans="1:24" s="438" customFormat="1" ht="16.5" thickBot="1" x14ac:dyDescent="0.3">
      <c r="A14" s="438" t="s">
        <v>2501</v>
      </c>
      <c r="B14" s="439"/>
      <c r="H14" s="440"/>
      <c r="I14" s="440"/>
      <c r="J14" s="441"/>
      <c r="N14" s="442">
        <f>SUM(N7:N13)</f>
        <v>8337558.6399999997</v>
      </c>
      <c r="O14" s="451"/>
      <c r="P14" s="452"/>
      <c r="Q14" s="452"/>
      <c r="R14" s="442">
        <f>SUM(R7:R13)</f>
        <v>57656.191666666666</v>
      </c>
      <c r="S14" s="442">
        <v>7687001.3850000007</v>
      </c>
      <c r="T14" s="442">
        <f>SUM(T7:T13)</f>
        <v>8205907.1100000003</v>
      </c>
      <c r="U14" s="442">
        <f>SUM(U7:U13)</f>
        <v>518905.72500000009</v>
      </c>
      <c r="V14" s="442">
        <f>SUM(V7:V13)</f>
        <v>131651.52999999991</v>
      </c>
    </row>
    <row r="15" spans="1:24" ht="16.5" thickTop="1" x14ac:dyDescent="0.25">
      <c r="O15" s="446"/>
      <c r="P15" s="447"/>
      <c r="Q15" s="447"/>
    </row>
    <row r="16" spans="1:24" ht="31.5" x14ac:dyDescent="0.25">
      <c r="B16" s="53" t="s">
        <v>2502</v>
      </c>
      <c r="C16" s="78" t="s">
        <v>2503</v>
      </c>
      <c r="D16" s="78" t="s">
        <v>2504</v>
      </c>
      <c r="E16" s="78" t="s">
        <v>2505</v>
      </c>
      <c r="F16" s="75" t="s">
        <v>2506</v>
      </c>
      <c r="G16" s="132">
        <v>41753</v>
      </c>
      <c r="H16" s="429">
        <v>28</v>
      </c>
      <c r="I16" s="429">
        <v>9</v>
      </c>
      <c r="J16" s="430">
        <v>2010</v>
      </c>
      <c r="K16" s="78" t="s">
        <v>57</v>
      </c>
      <c r="L16" s="431" t="s">
        <v>2507</v>
      </c>
      <c r="M16" s="78" t="s">
        <v>2484</v>
      </c>
      <c r="N16" s="6">
        <v>1291248</v>
      </c>
      <c r="O16" s="446" t="s">
        <v>565</v>
      </c>
      <c r="P16" s="447">
        <v>2</v>
      </c>
      <c r="Q16" s="447">
        <v>5</v>
      </c>
      <c r="R16" s="6">
        <f>((N16-1)/(Q16*12))</f>
        <v>21520.783333333333</v>
      </c>
      <c r="S16" s="5">
        <v>172166.26666666666</v>
      </c>
      <c r="T16" s="6">
        <f>R16*X16</f>
        <v>408894.8833333333</v>
      </c>
      <c r="U16" s="15">
        <f>T16-S16</f>
        <v>236728.61666666664</v>
      </c>
      <c r="V16" s="6">
        <f>N16-T16</f>
        <v>882353.1166666667</v>
      </c>
      <c r="X16" s="44">
        <f>IF((DATEDIF(G16,X$4,"m"))&gt;=60,60,(DATEDIF(G16,X$4,"m")))</f>
        <v>19</v>
      </c>
    </row>
    <row r="17" spans="2:24" ht="31.5" x14ac:dyDescent="0.25">
      <c r="B17" s="53" t="s">
        <v>2502</v>
      </c>
      <c r="C17" s="78" t="s">
        <v>2503</v>
      </c>
      <c r="D17" s="78" t="s">
        <v>2504</v>
      </c>
      <c r="E17" s="78" t="s">
        <v>2508</v>
      </c>
      <c r="F17" s="75" t="s">
        <v>2506</v>
      </c>
      <c r="G17" s="132">
        <v>41753</v>
      </c>
      <c r="H17" s="429">
        <v>28</v>
      </c>
      <c r="I17" s="429">
        <v>9</v>
      </c>
      <c r="J17" s="430">
        <v>2010</v>
      </c>
      <c r="K17" s="78" t="s">
        <v>57</v>
      </c>
      <c r="L17" s="431" t="s">
        <v>2509</v>
      </c>
      <c r="M17" s="78" t="s">
        <v>2484</v>
      </c>
      <c r="N17" s="6">
        <v>1291248</v>
      </c>
      <c r="O17" s="446" t="s">
        <v>565</v>
      </c>
      <c r="P17" s="447">
        <v>2</v>
      </c>
      <c r="Q17" s="447">
        <v>5</v>
      </c>
      <c r="R17" s="6">
        <f>((N17-1)/(Q17*12))</f>
        <v>21520.783333333333</v>
      </c>
      <c r="S17" s="5">
        <v>172166.26666666666</v>
      </c>
      <c r="T17" s="6">
        <f>R17*X17</f>
        <v>408894.8833333333</v>
      </c>
      <c r="U17" s="15">
        <f>T17-S17</f>
        <v>236728.61666666664</v>
      </c>
      <c r="V17" s="6">
        <f>N17-T17</f>
        <v>882353.1166666667</v>
      </c>
      <c r="X17" s="44">
        <f>IF((DATEDIF(G17,X$4,"m"))&gt;=60,60,(DATEDIF(G17,X$4,"m")))</f>
        <v>19</v>
      </c>
    </row>
    <row r="18" spans="2:24" ht="16.5" thickBot="1" x14ac:dyDescent="0.3">
      <c r="F18" s="75"/>
      <c r="G18" s="132"/>
      <c r="L18" s="431"/>
      <c r="N18" s="442">
        <f>SUM(N16:N17)</f>
        <v>2582496</v>
      </c>
      <c r="O18" s="451"/>
      <c r="P18" s="452"/>
      <c r="Q18" s="452"/>
      <c r="R18" s="442">
        <f>SUM(R16:R17)</f>
        <v>43041.566666666666</v>
      </c>
      <c r="S18" s="442">
        <v>344332.53333333333</v>
      </c>
      <c r="T18" s="442">
        <f>SUM(T16:T17)</f>
        <v>817789.7666666666</v>
      </c>
      <c r="U18" s="442">
        <f>SUM(U16:U17)</f>
        <v>473457.23333333328</v>
      </c>
      <c r="V18" s="442">
        <f>SUM(V16:V17)</f>
        <v>1764706.2333333334</v>
      </c>
      <c r="X18" s="44"/>
    </row>
    <row r="19" spans="2:24" ht="16.5" thickTop="1" x14ac:dyDescent="0.25">
      <c r="F19" s="75"/>
      <c r="G19" s="132"/>
      <c r="L19" s="431"/>
      <c r="O19" s="446"/>
      <c r="P19" s="447"/>
      <c r="Q19" s="447"/>
      <c r="X19" s="44"/>
    </row>
    <row r="20" spans="2:24" ht="16.5" thickBot="1" x14ac:dyDescent="0.3">
      <c r="F20" s="75"/>
      <c r="G20" s="132"/>
      <c r="L20" s="431"/>
      <c r="N20" s="442">
        <f>+N14+N18</f>
        <v>10920054.640000001</v>
      </c>
      <c r="O20" s="451"/>
      <c r="P20" s="452"/>
      <c r="Q20" s="452"/>
      <c r="R20" s="442">
        <f>+R14+R18</f>
        <v>100697.75833333333</v>
      </c>
      <c r="S20" s="442">
        <v>8031333.9183333302</v>
      </c>
      <c r="T20" s="442">
        <f>+T14+T18</f>
        <v>9023696.8766666669</v>
      </c>
      <c r="U20" s="442">
        <f>+U14+U18</f>
        <v>992362.95833333337</v>
      </c>
      <c r="V20" s="442">
        <f>+V14+V18</f>
        <v>1896357.7633333332</v>
      </c>
      <c r="X20" s="44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5"/>
  <sheetViews>
    <sheetView zoomScaleNormal="100" workbookViewId="0">
      <pane xSplit="4" ySplit="6" topLeftCell="O436" activePane="bottomRight" state="frozen"/>
      <selection pane="topRight" activeCell="C1" sqref="C1"/>
      <selection pane="bottomLeft" activeCell="A6" sqref="A6"/>
      <selection pane="bottomRight" activeCell="X447" sqref="X447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30 de Noviembre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2"/>
      <c r="O4" s="2"/>
      <c r="P4" s="566"/>
      <c r="Q4" s="571"/>
      <c r="R4" s="571"/>
      <c r="S4" s="571"/>
      <c r="T4" s="566"/>
      <c r="U4" s="566"/>
      <c r="V4" s="566"/>
      <c r="W4" s="566"/>
      <c r="X4" s="566"/>
      <c r="AB4" s="3">
        <f>+'Equipos de Producción'!W4</f>
        <v>42338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54"/>
    </row>
    <row r="6" spans="1:29" s="11" customFormat="1" ht="35.25" customHeight="1" x14ac:dyDescent="0.25">
      <c r="A6" s="608" t="s">
        <v>4</v>
      </c>
      <c r="B6" s="608" t="s">
        <v>5</v>
      </c>
      <c r="C6" s="608" t="s">
        <v>6</v>
      </c>
      <c r="D6" s="608" t="s">
        <v>7</v>
      </c>
      <c r="E6" s="608" t="s">
        <v>8</v>
      </c>
      <c r="F6" s="608" t="s">
        <v>9</v>
      </c>
      <c r="G6" s="608" t="s">
        <v>10</v>
      </c>
      <c r="H6" s="608" t="s">
        <v>11</v>
      </c>
      <c r="I6" s="608" t="s">
        <v>12</v>
      </c>
      <c r="J6" s="609" t="s">
        <v>13</v>
      </c>
      <c r="K6" s="609" t="s">
        <v>14</v>
      </c>
      <c r="L6" s="610" t="s">
        <v>15</v>
      </c>
      <c r="M6" s="608" t="s">
        <v>16</v>
      </c>
      <c r="N6" s="608" t="s">
        <v>17</v>
      </c>
      <c r="O6" s="608" t="s">
        <v>18</v>
      </c>
      <c r="P6" s="614" t="s">
        <v>19</v>
      </c>
      <c r="Q6" s="616" t="s">
        <v>20</v>
      </c>
      <c r="R6" s="616"/>
      <c r="S6" s="617" t="s">
        <v>21</v>
      </c>
      <c r="T6" s="615" t="s">
        <v>22</v>
      </c>
      <c r="U6" s="10" t="str">
        <f>+'Equipos de Producción'!$R$6</f>
        <v>Acumulada Dic. 2014</v>
      </c>
      <c r="V6" s="10" t="str">
        <f>+'Equipos de Producción'!$S$6</f>
        <v>Acumulada Octubre 2015</v>
      </c>
      <c r="W6" s="10" t="str">
        <f>+'Equipos de Producción'!$T$6</f>
        <v>Deprec. a Registrar Octubre 2015</v>
      </c>
      <c r="X6" s="611" t="s">
        <v>24</v>
      </c>
      <c r="Y6" s="608" t="s">
        <v>25</v>
      </c>
      <c r="AB6" s="11" t="s">
        <v>26</v>
      </c>
    </row>
    <row r="7" spans="1:29" s="566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71">
        <v>2</v>
      </c>
      <c r="R7" s="571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40" customFormat="1" x14ac:dyDescent="0.25">
      <c r="A8" s="631" t="s">
        <v>33</v>
      </c>
      <c r="B8" s="631"/>
      <c r="C8" s="631"/>
      <c r="D8" s="631" t="s">
        <v>34</v>
      </c>
      <c r="E8" s="631" t="s">
        <v>35</v>
      </c>
      <c r="F8" s="631" t="s">
        <v>36</v>
      </c>
      <c r="G8" s="631" t="s">
        <v>37</v>
      </c>
      <c r="H8" s="631"/>
      <c r="I8" s="632"/>
      <c r="J8" s="633"/>
      <c r="K8" s="634">
        <v>1</v>
      </c>
      <c r="L8" s="635">
        <v>2003</v>
      </c>
      <c r="M8" s="631"/>
      <c r="N8" s="631"/>
      <c r="O8" s="631" t="s">
        <v>32</v>
      </c>
      <c r="P8" s="636">
        <v>1</v>
      </c>
      <c r="Q8" s="637">
        <v>2</v>
      </c>
      <c r="R8" s="637"/>
      <c r="S8" s="632">
        <v>3</v>
      </c>
      <c r="T8" s="638">
        <f t="shared" si="0"/>
        <v>0</v>
      </c>
      <c r="U8" s="639">
        <v>0</v>
      </c>
      <c r="V8" s="639">
        <v>0</v>
      </c>
      <c r="W8" s="639">
        <f t="shared" si="1"/>
        <v>0</v>
      </c>
      <c r="X8" s="639">
        <f>P8-V8</f>
        <v>1</v>
      </c>
      <c r="AB8" s="641">
        <f t="shared" ref="AB8:AB40" si="2">IF((DATEDIF(I8,AB$4,"m"))&gt;=36,36,(DATEDIF(I8,AB$4,"m")))</f>
        <v>36</v>
      </c>
    </row>
    <row r="9" spans="1:29" s="640" customFormat="1" x14ac:dyDescent="0.25">
      <c r="A9" s="631" t="s">
        <v>38</v>
      </c>
      <c r="B9" s="631"/>
      <c r="C9" s="631"/>
      <c r="D9" s="631" t="s">
        <v>39</v>
      </c>
      <c r="E9" s="631" t="s">
        <v>40</v>
      </c>
      <c r="F9" s="631" t="s">
        <v>41</v>
      </c>
      <c r="G9" s="631" t="s">
        <v>42</v>
      </c>
      <c r="H9" s="631"/>
      <c r="I9" s="632"/>
      <c r="J9" s="633"/>
      <c r="K9" s="634">
        <v>1</v>
      </c>
      <c r="L9" s="635">
        <v>2003</v>
      </c>
      <c r="M9" s="631"/>
      <c r="N9" s="631"/>
      <c r="O9" s="631" t="s">
        <v>32</v>
      </c>
      <c r="P9" s="636">
        <v>1</v>
      </c>
      <c r="Q9" s="637">
        <v>2</v>
      </c>
      <c r="R9" s="637"/>
      <c r="S9" s="632">
        <v>3</v>
      </c>
      <c r="T9" s="638">
        <f t="shared" si="0"/>
        <v>0</v>
      </c>
      <c r="U9" s="639">
        <v>0</v>
      </c>
      <c r="V9" s="639">
        <v>0</v>
      </c>
      <c r="W9" s="639">
        <f t="shared" si="1"/>
        <v>0</v>
      </c>
      <c r="X9" s="639">
        <f>P9-V9</f>
        <v>1</v>
      </c>
      <c r="AB9" s="641">
        <f t="shared" si="2"/>
        <v>36</v>
      </c>
    </row>
    <row r="10" spans="1:29" s="640" customFormat="1" x14ac:dyDescent="0.25">
      <c r="A10" s="631" t="s">
        <v>43</v>
      </c>
      <c r="B10" s="631"/>
      <c r="C10" s="631"/>
      <c r="D10" s="631" t="s">
        <v>44</v>
      </c>
      <c r="E10" s="631" t="s">
        <v>45</v>
      </c>
      <c r="F10" s="631" t="s">
        <v>46</v>
      </c>
      <c r="G10" s="631" t="s">
        <v>47</v>
      </c>
      <c r="H10" s="631"/>
      <c r="I10" s="632"/>
      <c r="J10" s="633"/>
      <c r="K10" s="634">
        <v>1</v>
      </c>
      <c r="L10" s="635">
        <v>2003</v>
      </c>
      <c r="M10" s="631"/>
      <c r="N10" s="631"/>
      <c r="O10" s="631" t="s">
        <v>32</v>
      </c>
      <c r="P10" s="643">
        <v>1</v>
      </c>
      <c r="Q10" s="637">
        <v>2</v>
      </c>
      <c r="R10" s="631" t="s">
        <v>48</v>
      </c>
      <c r="S10" s="632">
        <v>3</v>
      </c>
      <c r="T10" s="638">
        <f t="shared" si="0"/>
        <v>0</v>
      </c>
      <c r="U10" s="639">
        <v>0</v>
      </c>
      <c r="V10" s="639">
        <v>0</v>
      </c>
      <c r="W10" s="639">
        <f t="shared" si="1"/>
        <v>0</v>
      </c>
      <c r="X10" s="639">
        <f>P10-V10</f>
        <v>1</v>
      </c>
      <c r="AB10" s="641">
        <f t="shared" si="2"/>
        <v>36</v>
      </c>
    </row>
    <row r="11" spans="1:29" s="640" customFormat="1" x14ac:dyDescent="0.25">
      <c r="A11" s="631" t="s">
        <v>49</v>
      </c>
      <c r="B11" s="631"/>
      <c r="C11" s="631"/>
      <c r="D11" s="631" t="s">
        <v>44</v>
      </c>
      <c r="E11" s="631" t="s">
        <v>40</v>
      </c>
      <c r="F11" s="631" t="s">
        <v>50</v>
      </c>
      <c r="G11" s="631" t="s">
        <v>51</v>
      </c>
      <c r="H11" s="631"/>
      <c r="I11" s="632"/>
      <c r="J11" s="633"/>
      <c r="K11" s="634">
        <v>1</v>
      </c>
      <c r="L11" s="635">
        <v>2003</v>
      </c>
      <c r="M11" s="631"/>
      <c r="N11" s="631"/>
      <c r="O11" s="631" t="s">
        <v>32</v>
      </c>
      <c r="P11" s="643">
        <v>1</v>
      </c>
      <c r="Q11" s="637">
        <v>2</v>
      </c>
      <c r="R11" s="637"/>
      <c r="S11" s="632">
        <v>3</v>
      </c>
      <c r="T11" s="638">
        <f t="shared" si="0"/>
        <v>0</v>
      </c>
      <c r="U11" s="639">
        <v>0</v>
      </c>
      <c r="V11" s="639">
        <v>0</v>
      </c>
      <c r="W11" s="639">
        <f t="shared" si="1"/>
        <v>0</v>
      </c>
      <c r="X11" s="639">
        <f>P11-V11</f>
        <v>1</v>
      </c>
      <c r="AB11" s="641">
        <f t="shared" si="2"/>
        <v>36</v>
      </c>
    </row>
    <row r="12" spans="1:29" s="640" customFormat="1" x14ac:dyDescent="0.25">
      <c r="A12" s="631" t="s">
        <v>52</v>
      </c>
      <c r="B12" s="631"/>
      <c r="C12" s="631"/>
      <c r="D12" s="631" t="s">
        <v>53</v>
      </c>
      <c r="E12" s="631" t="s">
        <v>29</v>
      </c>
      <c r="F12" s="631" t="s">
        <v>54</v>
      </c>
      <c r="G12" s="631" t="s">
        <v>55</v>
      </c>
      <c r="H12" s="631" t="s">
        <v>56</v>
      </c>
      <c r="I12" s="646">
        <v>37690</v>
      </c>
      <c r="J12" s="633">
        <v>10</v>
      </c>
      <c r="K12" s="633">
        <v>3</v>
      </c>
      <c r="L12" s="635">
        <v>2003</v>
      </c>
      <c r="M12" s="631" t="s">
        <v>57</v>
      </c>
      <c r="N12" s="631">
        <v>11820</v>
      </c>
      <c r="O12" s="631" t="s">
        <v>32</v>
      </c>
      <c r="P12" s="643">
        <v>15800</v>
      </c>
      <c r="Q12" s="637">
        <v>2</v>
      </c>
      <c r="R12" s="637"/>
      <c r="S12" s="632">
        <v>3</v>
      </c>
      <c r="T12" s="638">
        <v>0</v>
      </c>
      <c r="U12" s="639">
        <v>15799</v>
      </c>
      <c r="V12" s="639">
        <v>15799</v>
      </c>
      <c r="W12" s="639">
        <f t="shared" si="1"/>
        <v>0</v>
      </c>
      <c r="X12" s="639">
        <v>1</v>
      </c>
      <c r="AB12" s="641">
        <f t="shared" si="2"/>
        <v>36</v>
      </c>
    </row>
    <row r="13" spans="1:29" s="566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71">
        <v>2</v>
      </c>
      <c r="R13" s="571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66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71">
        <v>2</v>
      </c>
      <c r="R14" s="571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40" customFormat="1" x14ac:dyDescent="0.25">
      <c r="A15" s="631" t="s">
        <v>70</v>
      </c>
      <c r="B15" s="631"/>
      <c r="C15" s="631"/>
      <c r="D15" s="631" t="s">
        <v>71</v>
      </c>
      <c r="E15" s="631" t="s">
        <v>40</v>
      </c>
      <c r="F15" s="631" t="s">
        <v>72</v>
      </c>
      <c r="G15" s="631" t="s">
        <v>73</v>
      </c>
      <c r="H15" s="631" t="s">
        <v>63</v>
      </c>
      <c r="I15" s="646">
        <v>38371</v>
      </c>
      <c r="J15" s="633">
        <v>19</v>
      </c>
      <c r="K15" s="633">
        <v>1</v>
      </c>
      <c r="L15" s="635">
        <v>2005</v>
      </c>
      <c r="M15" s="631" t="s">
        <v>57</v>
      </c>
      <c r="N15" s="631">
        <v>36108</v>
      </c>
      <c r="O15" s="631" t="s">
        <v>32</v>
      </c>
      <c r="P15" s="643">
        <v>1</v>
      </c>
      <c r="Q15" s="637">
        <v>2</v>
      </c>
      <c r="R15" s="637"/>
      <c r="S15" s="632">
        <v>3</v>
      </c>
      <c r="T15" s="638">
        <f t="shared" si="0"/>
        <v>0</v>
      </c>
      <c r="U15" s="639">
        <v>0</v>
      </c>
      <c r="V15" s="639">
        <v>0</v>
      </c>
      <c r="W15" s="639">
        <f t="shared" si="1"/>
        <v>0</v>
      </c>
      <c r="X15" s="639">
        <f>P15-V15</f>
        <v>1</v>
      </c>
      <c r="Y15" s="644"/>
      <c r="Z15" s="644"/>
      <c r="AA15" s="644"/>
      <c r="AB15" s="641">
        <f t="shared" si="2"/>
        <v>36</v>
      </c>
    </row>
    <row r="16" spans="1:29" s="566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71">
        <v>2</v>
      </c>
      <c r="R16" s="571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66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71">
        <v>2</v>
      </c>
      <c r="R17" s="571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8" customFormat="1" x14ac:dyDescent="0.25">
      <c r="A18" s="572" t="s">
        <v>87</v>
      </c>
      <c r="B18" s="572"/>
      <c r="C18" s="573"/>
      <c r="D18" s="573" t="s">
        <v>88</v>
      </c>
      <c r="E18" s="573" t="s">
        <v>29</v>
      </c>
      <c r="F18" s="573">
        <v>1315</v>
      </c>
      <c r="G18" s="573" t="s">
        <v>89</v>
      </c>
      <c r="H18" s="573" t="s">
        <v>63</v>
      </c>
      <c r="I18" s="574">
        <v>38400</v>
      </c>
      <c r="J18" s="575">
        <v>17</v>
      </c>
      <c r="K18" s="575">
        <v>2</v>
      </c>
      <c r="L18" s="576">
        <v>2005</v>
      </c>
      <c r="M18" s="573" t="s">
        <v>57</v>
      </c>
      <c r="N18" s="573">
        <v>36223</v>
      </c>
      <c r="O18" s="573" t="s">
        <v>32</v>
      </c>
      <c r="P18" s="577">
        <v>3760</v>
      </c>
      <c r="Q18" s="618">
        <v>2</v>
      </c>
      <c r="R18" s="618"/>
      <c r="S18" s="619">
        <v>3</v>
      </c>
      <c r="T18" s="577">
        <v>0</v>
      </c>
      <c r="U18" s="15">
        <v>3759</v>
      </c>
      <c r="V18" s="15">
        <v>3759</v>
      </c>
      <c r="W18" s="579">
        <f t="shared" si="1"/>
        <v>0</v>
      </c>
      <c r="X18" s="579">
        <v>1</v>
      </c>
      <c r="Y18" s="580">
        <v>5752</v>
      </c>
      <c r="Z18" s="580"/>
      <c r="AA18" s="580"/>
      <c r="AB18" s="67">
        <f t="shared" si="2"/>
        <v>36</v>
      </c>
      <c r="AC18" s="581"/>
    </row>
    <row r="19" spans="1:30" s="640" customFormat="1" x14ac:dyDescent="0.25">
      <c r="A19" s="631" t="s">
        <v>90</v>
      </c>
      <c r="B19" s="631"/>
      <c r="C19" s="631"/>
      <c r="D19" s="631" t="s">
        <v>91</v>
      </c>
      <c r="E19" s="631" t="s">
        <v>29</v>
      </c>
      <c r="F19" s="631">
        <v>5650</v>
      </c>
      <c r="G19" s="631" t="s">
        <v>92</v>
      </c>
      <c r="H19" s="631"/>
      <c r="I19" s="632"/>
      <c r="J19" s="633"/>
      <c r="K19" s="634">
        <v>2</v>
      </c>
      <c r="L19" s="642">
        <v>2005</v>
      </c>
      <c r="M19" s="631"/>
      <c r="N19" s="631"/>
      <c r="O19" s="631" t="s">
        <v>32</v>
      </c>
      <c r="P19" s="643">
        <v>1</v>
      </c>
      <c r="Q19" s="637">
        <v>2</v>
      </c>
      <c r="R19" s="637"/>
      <c r="S19" s="632">
        <v>3</v>
      </c>
      <c r="T19" s="638">
        <f t="shared" si="0"/>
        <v>0</v>
      </c>
      <c r="U19" s="639">
        <v>0</v>
      </c>
      <c r="V19" s="639">
        <v>0</v>
      </c>
      <c r="W19" s="639">
        <f t="shared" si="1"/>
        <v>0</v>
      </c>
      <c r="X19" s="639">
        <f>P19-V19</f>
        <v>1</v>
      </c>
      <c r="Y19" s="644"/>
      <c r="Z19" s="644"/>
      <c r="AA19" s="644"/>
      <c r="AB19" s="641">
        <f t="shared" si="2"/>
        <v>36</v>
      </c>
      <c r="AC19" s="645"/>
    </row>
    <row r="20" spans="1:30" s="640" customFormat="1" x14ac:dyDescent="0.25">
      <c r="A20" s="631" t="s">
        <v>93</v>
      </c>
      <c r="B20" s="631"/>
      <c r="C20" s="631"/>
      <c r="D20" s="631" t="s">
        <v>94</v>
      </c>
      <c r="E20" s="631" t="s">
        <v>95</v>
      </c>
      <c r="F20" s="631">
        <v>500</v>
      </c>
      <c r="G20" s="631" t="s">
        <v>96</v>
      </c>
      <c r="H20" s="631"/>
      <c r="I20" s="632"/>
      <c r="J20" s="633"/>
      <c r="K20" s="634">
        <v>2</v>
      </c>
      <c r="L20" s="642">
        <v>2005</v>
      </c>
      <c r="M20" s="631"/>
      <c r="N20" s="631"/>
      <c r="O20" s="631" t="s">
        <v>32</v>
      </c>
      <c r="P20" s="643">
        <v>1</v>
      </c>
      <c r="Q20" s="637">
        <v>2</v>
      </c>
      <c r="R20" s="637"/>
      <c r="S20" s="632">
        <v>3</v>
      </c>
      <c r="T20" s="638">
        <f t="shared" si="0"/>
        <v>0</v>
      </c>
      <c r="U20" s="639">
        <v>0</v>
      </c>
      <c r="V20" s="639">
        <v>0</v>
      </c>
      <c r="W20" s="639">
        <f t="shared" si="1"/>
        <v>0</v>
      </c>
      <c r="X20" s="639">
        <f>P20-V20</f>
        <v>1</v>
      </c>
      <c r="Y20" s="644"/>
      <c r="Z20" s="644"/>
      <c r="AA20" s="644"/>
      <c r="AB20" s="641">
        <f t="shared" si="2"/>
        <v>36</v>
      </c>
      <c r="AC20" s="645"/>
    </row>
    <row r="21" spans="1:30" s="640" customFormat="1" x14ac:dyDescent="0.25">
      <c r="A21" s="631" t="s">
        <v>97</v>
      </c>
      <c r="B21" s="631"/>
      <c r="C21" s="631"/>
      <c r="D21" s="631" t="s">
        <v>94</v>
      </c>
      <c r="E21" s="631" t="s">
        <v>98</v>
      </c>
      <c r="F21" s="631" t="s">
        <v>99</v>
      </c>
      <c r="G21" s="631" t="s">
        <v>100</v>
      </c>
      <c r="H21" s="631"/>
      <c r="I21" s="632"/>
      <c r="J21" s="633"/>
      <c r="K21" s="634">
        <v>2</v>
      </c>
      <c r="L21" s="642">
        <v>2005</v>
      </c>
      <c r="M21" s="631"/>
      <c r="N21" s="631"/>
      <c r="O21" s="631" t="s">
        <v>32</v>
      </c>
      <c r="P21" s="643">
        <v>1</v>
      </c>
      <c r="Q21" s="637">
        <v>2</v>
      </c>
      <c r="R21" s="637"/>
      <c r="S21" s="632">
        <v>3</v>
      </c>
      <c r="T21" s="638">
        <f t="shared" si="0"/>
        <v>0</v>
      </c>
      <c r="U21" s="639">
        <v>0</v>
      </c>
      <c r="V21" s="639">
        <v>0</v>
      </c>
      <c r="W21" s="639">
        <f t="shared" si="1"/>
        <v>0</v>
      </c>
      <c r="X21" s="639">
        <f>P21-V21</f>
        <v>1</v>
      </c>
      <c r="Y21" s="644"/>
      <c r="Z21" s="644"/>
      <c r="AA21" s="644"/>
      <c r="AB21" s="641">
        <f t="shared" si="2"/>
        <v>36</v>
      </c>
      <c r="AC21" s="64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71">
        <v>2</v>
      </c>
      <c r="R22" s="571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71">
        <v>2</v>
      </c>
      <c r="R23" s="571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71">
        <v>2</v>
      </c>
      <c r="R24" s="571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71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44" customFormat="1" x14ac:dyDescent="0.25">
      <c r="A26" s="631" t="s">
        <v>124</v>
      </c>
      <c r="B26" s="631"/>
      <c r="C26" s="631"/>
      <c r="D26" s="631" t="s">
        <v>91</v>
      </c>
      <c r="E26" s="631" t="s">
        <v>29</v>
      </c>
      <c r="F26" s="631" t="s">
        <v>125</v>
      </c>
      <c r="G26" s="631" t="s">
        <v>126</v>
      </c>
      <c r="H26" s="631"/>
      <c r="I26" s="632"/>
      <c r="J26" s="633"/>
      <c r="K26" s="634">
        <v>5</v>
      </c>
      <c r="L26" s="642">
        <v>2003</v>
      </c>
      <c r="M26" s="631"/>
      <c r="N26" s="631"/>
      <c r="O26" s="631" t="s">
        <v>32</v>
      </c>
      <c r="P26" s="643">
        <v>1</v>
      </c>
      <c r="Q26" s="637">
        <v>2</v>
      </c>
      <c r="R26" s="631" t="s">
        <v>127</v>
      </c>
      <c r="S26" s="632">
        <v>3</v>
      </c>
      <c r="T26" s="638">
        <f t="shared" si="0"/>
        <v>0</v>
      </c>
      <c r="U26" s="639">
        <v>0</v>
      </c>
      <c r="V26" s="639">
        <v>0</v>
      </c>
      <c r="W26" s="639">
        <f t="shared" si="1"/>
        <v>0</v>
      </c>
      <c r="X26" s="639">
        <f t="shared" si="3"/>
        <v>1</v>
      </c>
      <c r="AB26" s="641">
        <f t="shared" si="2"/>
        <v>36</v>
      </c>
      <c r="AC26" s="645"/>
    </row>
    <row r="27" spans="1:30" s="644" customFormat="1" x14ac:dyDescent="0.25">
      <c r="A27" s="631" t="s">
        <v>128</v>
      </c>
      <c r="B27" s="631"/>
      <c r="C27" s="631"/>
      <c r="D27" s="631" t="s">
        <v>129</v>
      </c>
      <c r="E27" s="631" t="s">
        <v>84</v>
      </c>
      <c r="F27" s="631" t="s">
        <v>130</v>
      </c>
      <c r="G27" s="631" t="s">
        <v>131</v>
      </c>
      <c r="H27" s="631"/>
      <c r="I27" s="632"/>
      <c r="J27" s="633"/>
      <c r="K27" s="634">
        <v>5</v>
      </c>
      <c r="L27" s="642">
        <v>2003</v>
      </c>
      <c r="M27" s="631"/>
      <c r="N27" s="631"/>
      <c r="O27" s="631" t="s">
        <v>32</v>
      </c>
      <c r="P27" s="643">
        <v>1</v>
      </c>
      <c r="Q27" s="637">
        <v>2</v>
      </c>
      <c r="R27" s="631"/>
      <c r="S27" s="632">
        <v>3</v>
      </c>
      <c r="T27" s="638">
        <f t="shared" si="0"/>
        <v>0</v>
      </c>
      <c r="U27" s="639">
        <v>0</v>
      </c>
      <c r="V27" s="639">
        <v>0</v>
      </c>
      <c r="W27" s="639">
        <f t="shared" si="1"/>
        <v>0</v>
      </c>
      <c r="X27" s="639">
        <f t="shared" si="3"/>
        <v>1</v>
      </c>
      <c r="AB27" s="641">
        <f t="shared" si="2"/>
        <v>36</v>
      </c>
      <c r="AC27" s="645"/>
    </row>
    <row r="28" spans="1:30" s="644" customFormat="1" x14ac:dyDescent="0.25">
      <c r="A28" s="631" t="s">
        <v>132</v>
      </c>
      <c r="B28" s="631"/>
      <c r="C28" s="631"/>
      <c r="D28" s="631" t="s">
        <v>133</v>
      </c>
      <c r="E28" s="631" t="s">
        <v>134</v>
      </c>
      <c r="F28" s="631" t="s">
        <v>135</v>
      </c>
      <c r="G28" s="631"/>
      <c r="H28" s="631"/>
      <c r="I28" s="646"/>
      <c r="J28" s="633"/>
      <c r="K28" s="634">
        <v>5</v>
      </c>
      <c r="L28" s="642">
        <v>2003</v>
      </c>
      <c r="M28" s="631"/>
      <c r="N28" s="631"/>
      <c r="O28" s="631" t="s">
        <v>32</v>
      </c>
      <c r="P28" s="636">
        <v>1</v>
      </c>
      <c r="Q28" s="637">
        <v>2</v>
      </c>
      <c r="R28" s="637"/>
      <c r="S28" s="632">
        <v>3</v>
      </c>
      <c r="T28" s="638">
        <f t="shared" si="0"/>
        <v>0</v>
      </c>
      <c r="U28" s="639">
        <v>0</v>
      </c>
      <c r="V28" s="639">
        <v>0</v>
      </c>
      <c r="W28" s="639">
        <f t="shared" si="1"/>
        <v>0</v>
      </c>
      <c r="X28" s="639">
        <f t="shared" si="3"/>
        <v>1</v>
      </c>
      <c r="AB28" s="641">
        <f t="shared" si="2"/>
        <v>36</v>
      </c>
      <c r="AC28" s="64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71">
        <v>2</v>
      </c>
      <c r="R29" s="571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44" customFormat="1" x14ac:dyDescent="0.25">
      <c r="A30" s="631" t="s">
        <v>141</v>
      </c>
      <c r="B30" s="631"/>
      <c r="C30" s="631"/>
      <c r="D30" s="631" t="s">
        <v>142</v>
      </c>
      <c r="E30" s="631" t="s">
        <v>29</v>
      </c>
      <c r="F30" s="631" t="s">
        <v>143</v>
      </c>
      <c r="G30" s="631" t="s">
        <v>144</v>
      </c>
      <c r="H30" s="631" t="s">
        <v>140</v>
      </c>
      <c r="I30" s="646">
        <v>39072</v>
      </c>
      <c r="J30" s="633">
        <v>21</v>
      </c>
      <c r="K30" s="633">
        <v>12</v>
      </c>
      <c r="L30" s="635">
        <v>2006</v>
      </c>
      <c r="M30" s="631" t="s">
        <v>57</v>
      </c>
      <c r="N30" s="631">
        <v>30324</v>
      </c>
      <c r="O30" s="631" t="s">
        <v>32</v>
      </c>
      <c r="P30" s="643">
        <v>3316.16</v>
      </c>
      <c r="Q30" s="637">
        <v>2</v>
      </c>
      <c r="R30" s="637"/>
      <c r="S30" s="632">
        <v>3</v>
      </c>
      <c r="T30" s="638">
        <v>0</v>
      </c>
      <c r="U30" s="639">
        <v>3315.16</v>
      </c>
      <c r="V30" s="639">
        <v>3315.16</v>
      </c>
      <c r="W30" s="639">
        <f t="shared" si="1"/>
        <v>0</v>
      </c>
      <c r="X30" s="639">
        <v>1</v>
      </c>
      <c r="AB30" s="64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71">
        <v>2</v>
      </c>
      <c r="R31" s="571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71">
        <v>2</v>
      </c>
      <c r="R32" s="571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8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71">
        <v>2</v>
      </c>
      <c r="R33" s="571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83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71">
        <v>2</v>
      </c>
      <c r="R34" s="571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71">
        <v>2</v>
      </c>
      <c r="R35" s="571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71">
        <v>2</v>
      </c>
      <c r="R36" s="571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6">
        <v>9073</v>
      </c>
      <c r="Z36" s="566"/>
      <c r="AA36" s="566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71">
        <v>2</v>
      </c>
      <c r="R37" s="571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71">
        <v>2</v>
      </c>
      <c r="R38" s="571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71">
        <v>2</v>
      </c>
      <c r="R39" s="571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71">
        <v>2</v>
      </c>
      <c r="R40" s="571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71"/>
      <c r="R41" s="571"/>
      <c r="AB41" s="16"/>
      <c r="AC41" s="16"/>
    </row>
    <row r="42" spans="1:29" x14ac:dyDescent="0.25">
      <c r="A42" s="12"/>
      <c r="B42" s="12"/>
      <c r="Q42" s="571"/>
      <c r="R42" s="571"/>
      <c r="AB42" s="16"/>
      <c r="AC42" s="16"/>
    </row>
    <row r="43" spans="1:29" x14ac:dyDescent="0.25">
      <c r="A43" s="12"/>
      <c r="B43" s="12"/>
      <c r="Q43" s="571"/>
      <c r="R43" s="57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71"/>
      <c r="R48" s="57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71"/>
      <c r="R49" s="57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71"/>
      <c r="R50" s="57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71"/>
      <c r="R51" s="57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71"/>
      <c r="R52" s="57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71"/>
      <c r="R53" s="57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71"/>
      <c r="R54" s="57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71"/>
      <c r="R55" s="57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71"/>
      <c r="R56" s="57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71"/>
      <c r="R57" s="57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71"/>
      <c r="R58" s="57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8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8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83" customFormat="1" x14ac:dyDescent="0.25">
      <c r="A128" s="4"/>
      <c r="B128" s="12" t="s">
        <v>418</v>
      </c>
      <c r="C128" s="583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84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55" t="s">
        <v>421</v>
      </c>
      <c r="N138" s="40">
        <v>495</v>
      </c>
      <c r="O138" s="655" t="s">
        <v>32</v>
      </c>
      <c r="P138" s="656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84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55" t="s">
        <v>421</v>
      </c>
      <c r="N139" s="40">
        <v>496</v>
      </c>
      <c r="O139" s="655" t="s">
        <v>32</v>
      </c>
      <c r="P139" s="656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84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55" t="s">
        <v>421</v>
      </c>
      <c r="N143" s="40">
        <v>499</v>
      </c>
      <c r="O143" s="655" t="s">
        <v>32</v>
      </c>
      <c r="P143" s="656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84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55" t="s">
        <v>421</v>
      </c>
      <c r="N144" s="40">
        <v>500</v>
      </c>
      <c r="O144" s="655" t="s">
        <v>32</v>
      </c>
      <c r="P144" s="656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82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82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82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82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82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82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82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82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82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82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83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83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83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83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83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83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83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83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83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83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82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82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82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84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85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83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83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83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83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83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83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83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83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83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83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83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83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83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83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83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83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83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83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83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83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83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83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86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20"/>
      <c r="R233" s="620"/>
      <c r="S233" s="62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86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54">
        <v>51871.673999999999</v>
      </c>
      <c r="Q234" s="620"/>
      <c r="R234" s="620"/>
      <c r="S234" s="621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86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54">
        <v>51871.673999999999</v>
      </c>
      <c r="Q235" s="620"/>
      <c r="R235" s="620"/>
      <c r="S235" s="621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86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54">
        <v>51871.673999999999</v>
      </c>
      <c r="Q236" s="620"/>
      <c r="R236" s="620"/>
      <c r="S236" s="621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86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54">
        <v>51871.673999999999</v>
      </c>
      <c r="Q237" s="620"/>
      <c r="R237" s="620"/>
      <c r="S237" s="621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86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54">
        <v>51871.673999999999</v>
      </c>
      <c r="Q238" s="620"/>
      <c r="R238" s="620"/>
      <c r="S238" s="621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86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54">
        <v>51871.673999999999</v>
      </c>
      <c r="Q239" s="620"/>
      <c r="R239" s="620"/>
      <c r="S239" s="621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86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54">
        <v>51871.673999999999</v>
      </c>
      <c r="Q240" s="620"/>
      <c r="R240" s="620"/>
      <c r="S240" s="621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86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54">
        <v>51871.673999999999</v>
      </c>
      <c r="Q241" s="620"/>
      <c r="R241" s="620"/>
      <c r="S241" s="621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86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54">
        <v>51871.673999999999</v>
      </c>
      <c r="Q242" s="620"/>
      <c r="R242" s="620"/>
      <c r="S242" s="621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7" t="s">
        <v>619</v>
      </c>
      <c r="O243" s="76" t="s">
        <v>32</v>
      </c>
      <c r="P243" s="50">
        <v>6055</v>
      </c>
      <c r="Q243" s="620"/>
      <c r="R243" s="620"/>
      <c r="S243" s="621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20"/>
      <c r="R244" s="620"/>
      <c r="S244" s="621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20"/>
      <c r="R245" s="620"/>
      <c r="S245" s="621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9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20"/>
      <c r="R246" s="620"/>
      <c r="S246" s="621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20"/>
      <c r="R247" s="620"/>
      <c r="S247" s="621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20"/>
      <c r="R248" s="620"/>
      <c r="S248" s="621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20"/>
      <c r="R249" s="620"/>
      <c r="S249" s="621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20"/>
      <c r="R250" s="620"/>
      <c r="S250" s="621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20"/>
      <c r="R251" s="620"/>
      <c r="S251" s="621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20"/>
      <c r="R252" s="620"/>
      <c r="S252" s="621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20"/>
      <c r="R253" s="620"/>
      <c r="S253" s="621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20"/>
      <c r="R254" s="620"/>
      <c r="S254" s="621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20"/>
      <c r="R255" s="620"/>
      <c r="S255" s="621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20"/>
      <c r="R256" s="620"/>
      <c r="S256" s="621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20"/>
      <c r="R257" s="620"/>
      <c r="S257" s="621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20"/>
      <c r="R258" s="620"/>
      <c r="S258" s="621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20"/>
      <c r="R259" s="620"/>
      <c r="S259" s="621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20"/>
      <c r="R260" s="620"/>
      <c r="S260" s="621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20"/>
      <c r="R261" s="620"/>
      <c r="S261" s="621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20"/>
      <c r="R262" s="620"/>
      <c r="S262" s="621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20"/>
      <c r="R263" s="620"/>
      <c r="S263" s="621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20"/>
      <c r="R264" s="620"/>
      <c r="S264" s="621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20"/>
      <c r="R265" s="620"/>
      <c r="S265" s="621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20"/>
      <c r="R266" s="620"/>
      <c r="S266" s="621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8" t="s">
        <v>667</v>
      </c>
      <c r="E267" s="76" t="s">
        <v>29</v>
      </c>
      <c r="F267" s="80" t="s">
        <v>617</v>
      </c>
      <c r="G267" s="589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90" t="s">
        <v>669</v>
      </c>
      <c r="O267" s="76" t="s">
        <v>32</v>
      </c>
      <c r="P267" s="50">
        <v>4704.96</v>
      </c>
      <c r="Q267" s="620"/>
      <c r="R267" s="620"/>
      <c r="S267" s="621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8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20"/>
      <c r="R268" s="620"/>
      <c r="S268" s="621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20"/>
      <c r="R269" s="620"/>
      <c r="S269" s="621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20"/>
      <c r="R270" s="620"/>
      <c r="S270" s="621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91">
        <f>SUM(P233:P270)</f>
        <v>956869.7839999994</v>
      </c>
      <c r="Q271" s="592"/>
      <c r="R271" s="592"/>
      <c r="S271" s="622"/>
      <c r="T271" s="591">
        <f>SUM(T233:T270)</f>
        <v>0</v>
      </c>
      <c r="U271" s="591">
        <v>956831.7839999994</v>
      </c>
      <c r="V271" s="591">
        <f>SUM(V233:V270)</f>
        <v>956831.7839999994</v>
      </c>
      <c r="W271" s="591">
        <f>SUM(W233:W270)</f>
        <v>0</v>
      </c>
      <c r="X271" s="591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64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64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64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64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64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64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64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64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64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64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64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64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64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64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64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64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64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64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64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64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64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71"/>
      <c r="R310" s="571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156344.91</v>
      </c>
      <c r="W314" s="77">
        <f t="shared" si="35"/>
        <v>30400.39916666667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914221.39559000009</v>
      </c>
      <c r="W316" s="26">
        <f>SUM(W277:W315)</f>
        <v>138908.57216527776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13333116.352678888</v>
      </c>
      <c r="W318" s="86">
        <f>+W316+W275</f>
        <v>138908.57216527776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37527.880226898858</v>
      </c>
      <c r="W320" s="77">
        <f>+V320-U320</f>
        <v>7297.0878218969992</v>
      </c>
      <c r="X320" s="77">
        <f t="shared" ref="X320:X345" si="39">P320-V320</f>
        <v>1</v>
      </c>
      <c r="Y320" s="33">
        <v>17212</v>
      </c>
      <c r="AB320" s="67">
        <f t="shared" ref="AB320:AB345" si="40">IF((DATEDIF(I320,AB$4,"m"))&gt;=36,36,(DATEDIF(I320,AB$4,"m")))</f>
        <v>36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37527.880226898858</v>
      </c>
      <c r="W321" s="77">
        <f t="shared" ref="W321:W345" si="41">+V321-U321</f>
        <v>7297.0878218969992</v>
      </c>
      <c r="X321" s="77">
        <f t="shared" si="39"/>
        <v>1</v>
      </c>
      <c r="Y321" s="33">
        <v>17212</v>
      </c>
      <c r="AB321" s="67">
        <f t="shared" si="40"/>
        <v>36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37527.880226898858</v>
      </c>
      <c r="W322" s="77">
        <f t="shared" si="41"/>
        <v>7297.0878218969992</v>
      </c>
      <c r="X322" s="77">
        <f t="shared" si="39"/>
        <v>1</v>
      </c>
      <c r="Y322" s="33">
        <v>17212</v>
      </c>
      <c r="AB322" s="67">
        <f t="shared" si="40"/>
        <v>36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37527.880226898858</v>
      </c>
      <c r="W323" s="77">
        <f t="shared" si="41"/>
        <v>7297.0878218969992</v>
      </c>
      <c r="X323" s="77">
        <f t="shared" si="39"/>
        <v>1</v>
      </c>
      <c r="Y323" s="33">
        <v>17212</v>
      </c>
      <c r="AB323" s="67">
        <f t="shared" si="40"/>
        <v>36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37527.880226898858</v>
      </c>
      <c r="W324" s="77">
        <f t="shared" si="41"/>
        <v>7297.0878218969992</v>
      </c>
      <c r="X324" s="77">
        <f t="shared" si="39"/>
        <v>1</v>
      </c>
      <c r="Y324" s="33">
        <v>17212</v>
      </c>
      <c r="AB324" s="67">
        <f t="shared" si="40"/>
        <v>36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37527.880226898858</v>
      </c>
      <c r="W325" s="77">
        <f t="shared" si="41"/>
        <v>7297.0878218969992</v>
      </c>
      <c r="X325" s="77">
        <f t="shared" si="39"/>
        <v>1</v>
      </c>
      <c r="Y325" s="33">
        <v>17212</v>
      </c>
      <c r="AB325" s="67">
        <f t="shared" si="40"/>
        <v>36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37527.880226898858</v>
      </c>
      <c r="W326" s="77">
        <f t="shared" si="41"/>
        <v>7297.0878218969992</v>
      </c>
      <c r="X326" s="77">
        <f t="shared" si="39"/>
        <v>1</v>
      </c>
      <c r="Y326" s="33">
        <v>17212</v>
      </c>
      <c r="AB326" s="67">
        <f t="shared" si="40"/>
        <v>36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37527.880226898858</v>
      </c>
      <c r="W327" s="77">
        <f t="shared" si="41"/>
        <v>7297.0878218969992</v>
      </c>
      <c r="X327" s="77">
        <f t="shared" si="39"/>
        <v>1</v>
      </c>
      <c r="Y327" s="33">
        <v>17212</v>
      </c>
      <c r="AB327" s="67">
        <f t="shared" si="40"/>
        <v>36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37527.880226898858</v>
      </c>
      <c r="W328" s="77">
        <f t="shared" si="41"/>
        <v>7297.0878218969992</v>
      </c>
      <c r="X328" s="77">
        <f t="shared" si="39"/>
        <v>1</v>
      </c>
      <c r="Y328" s="33">
        <v>17212</v>
      </c>
      <c r="AB328" s="67">
        <f t="shared" si="40"/>
        <v>36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37527.880226898858</v>
      </c>
      <c r="W329" s="77">
        <f t="shared" si="41"/>
        <v>7297.0878218969992</v>
      </c>
      <c r="X329" s="77">
        <f t="shared" si="39"/>
        <v>1</v>
      </c>
      <c r="Y329" s="33">
        <v>17212</v>
      </c>
      <c r="AB329" s="67">
        <f t="shared" si="40"/>
        <v>36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4134.9997731011408</v>
      </c>
      <c r="W330" s="77">
        <f t="shared" si="41"/>
        <v>804.02773365855501</v>
      </c>
      <c r="X330" s="77">
        <f t="shared" si="39"/>
        <v>1</v>
      </c>
      <c r="Y330" s="33">
        <v>17212</v>
      </c>
      <c r="AB330" s="67">
        <f t="shared" si="40"/>
        <v>36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4134.9997731011408</v>
      </c>
      <c r="W331" s="77">
        <f t="shared" si="41"/>
        <v>804.02773365855501</v>
      </c>
      <c r="X331" s="77">
        <f t="shared" si="39"/>
        <v>1</v>
      </c>
      <c r="Y331" s="33">
        <v>17212</v>
      </c>
      <c r="AB331" s="67">
        <f t="shared" si="40"/>
        <v>36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4134.9997731011408</v>
      </c>
      <c r="W332" s="77">
        <f t="shared" si="41"/>
        <v>804.02773365855501</v>
      </c>
      <c r="X332" s="77">
        <f t="shared" si="39"/>
        <v>1</v>
      </c>
      <c r="Y332" s="33">
        <v>17212</v>
      </c>
      <c r="AB332" s="67">
        <f t="shared" si="40"/>
        <v>36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4134.9997731011408</v>
      </c>
      <c r="W333" s="77">
        <f t="shared" si="41"/>
        <v>804.02773365855501</v>
      </c>
      <c r="X333" s="77">
        <f t="shared" si="39"/>
        <v>1</v>
      </c>
      <c r="Y333" s="33">
        <v>17212</v>
      </c>
      <c r="AB333" s="67">
        <f t="shared" si="40"/>
        <v>36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4134.9997731011408</v>
      </c>
      <c r="W334" s="77">
        <f t="shared" si="41"/>
        <v>804.02773365855501</v>
      </c>
      <c r="X334" s="77">
        <f>P334-V334</f>
        <v>1</v>
      </c>
      <c r="Y334" s="33">
        <v>17212</v>
      </c>
      <c r="AB334" s="67">
        <f t="shared" si="40"/>
        <v>36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4134.9997731011408</v>
      </c>
      <c r="W335" s="77">
        <f t="shared" si="41"/>
        <v>804.02773365855501</v>
      </c>
      <c r="X335" s="77">
        <f t="shared" si="39"/>
        <v>1</v>
      </c>
      <c r="Y335" s="33">
        <v>17212</v>
      </c>
      <c r="AB335" s="67">
        <f t="shared" si="40"/>
        <v>36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4134.9997731011408</v>
      </c>
      <c r="W336" s="77">
        <f t="shared" si="41"/>
        <v>804.02773365855501</v>
      </c>
      <c r="X336" s="77">
        <f t="shared" si="39"/>
        <v>1</v>
      </c>
      <c r="Y336" s="33">
        <v>17212</v>
      </c>
      <c r="AB336" s="67">
        <f t="shared" si="40"/>
        <v>36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4134.9997731011408</v>
      </c>
      <c r="W337" s="77">
        <f t="shared" si="41"/>
        <v>804.02773365855501</v>
      </c>
      <c r="X337" s="77">
        <f t="shared" si="39"/>
        <v>1</v>
      </c>
      <c r="Y337" s="33">
        <v>17212</v>
      </c>
      <c r="AB337" s="67">
        <f t="shared" si="40"/>
        <v>36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4134.9997731011408</v>
      </c>
      <c r="W338" s="77">
        <f t="shared" si="41"/>
        <v>804.02773365855501</v>
      </c>
      <c r="X338" s="77">
        <f t="shared" si="39"/>
        <v>1</v>
      </c>
      <c r="Y338" s="33">
        <v>17212</v>
      </c>
      <c r="AB338" s="67">
        <f t="shared" si="40"/>
        <v>36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4134.9997731011408</v>
      </c>
      <c r="W339" s="77">
        <f t="shared" si="41"/>
        <v>804.02773365855501</v>
      </c>
      <c r="X339" s="77">
        <f t="shared" si="39"/>
        <v>1</v>
      </c>
      <c r="Y339" s="33">
        <v>17212</v>
      </c>
      <c r="AB339" s="67">
        <f t="shared" si="40"/>
        <v>36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46976.684399999998</v>
      </c>
      <c r="W340" s="77">
        <f t="shared" si="41"/>
        <v>9134.3553000000029</v>
      </c>
      <c r="X340" s="77">
        <f t="shared" si="39"/>
        <v>1</v>
      </c>
      <c r="Y340" s="33">
        <v>17212</v>
      </c>
      <c r="AB340" s="67">
        <f t="shared" si="40"/>
        <v>36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46976.684399999998</v>
      </c>
      <c r="W341" s="77">
        <f t="shared" si="41"/>
        <v>9134.3553000000029</v>
      </c>
      <c r="X341" s="77">
        <f t="shared" si="39"/>
        <v>1</v>
      </c>
      <c r="Y341" s="33">
        <v>17212</v>
      </c>
      <c r="AB341" s="67">
        <f t="shared" si="40"/>
        <v>36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23222.2</v>
      </c>
      <c r="W342" s="77">
        <f t="shared" si="41"/>
        <v>4515.4277777777788</v>
      </c>
      <c r="X342" s="77">
        <f t="shared" si="39"/>
        <v>1</v>
      </c>
      <c r="Y342" s="33">
        <v>17320</v>
      </c>
      <c r="AB342" s="67">
        <f t="shared" si="40"/>
        <v>36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7179.4</v>
      </c>
      <c r="W343" s="77">
        <f t="shared" si="41"/>
        <v>1395.9944444444445</v>
      </c>
      <c r="X343" s="77">
        <f t="shared" si="39"/>
        <v>1</v>
      </c>
      <c r="Y343" s="51">
        <v>17320</v>
      </c>
      <c r="AB343" s="67">
        <f t="shared" si="40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6439</v>
      </c>
      <c r="W345" s="77">
        <f t="shared" si="41"/>
        <v>1788.6111111111113</v>
      </c>
      <c r="X345" s="77">
        <f t="shared" si="39"/>
        <v>1</v>
      </c>
      <c r="Y345" s="93">
        <v>17565</v>
      </c>
      <c r="AB345" s="67">
        <f t="shared" si="40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547422.76879999985</v>
      </c>
      <c r="W346" s="26">
        <f>SUM(W320:W345)</f>
        <v>106979.89948888891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854867.09111111111</v>
      </c>
      <c r="W348" s="77">
        <f t="shared" ref="W348:W356" si="44">+V348-U348</f>
        <v>303339.93555555551</v>
      </c>
      <c r="X348" s="77">
        <f t="shared" ref="X348:X356" si="45">P348-V348</f>
        <v>137882.7888888889</v>
      </c>
      <c r="Y348" s="93">
        <v>18050</v>
      </c>
      <c r="AB348" s="67">
        <f t="shared" ref="AB348:AB362" si="46">IF((DATEDIF(I348,AB$4,"m"))&gt;=36,36,(DATEDIF(I348,AB$4,"m")))</f>
        <v>31</v>
      </c>
    </row>
    <row r="349" spans="1:28" s="33" customFormat="1" ht="31.5" x14ac:dyDescent="0.25">
      <c r="A349" s="40"/>
      <c r="B349" s="40"/>
      <c r="C349" s="40"/>
      <c r="D349" s="593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818250.5</v>
      </c>
      <c r="W349" s="77">
        <f t="shared" si="44"/>
        <v>300025.18333333335</v>
      </c>
      <c r="X349" s="77">
        <f t="shared" si="45"/>
        <v>163651.09999999998</v>
      </c>
      <c r="Y349" s="92" t="s">
        <v>773</v>
      </c>
      <c r="AB349" s="67">
        <f t="shared" si="46"/>
        <v>30</v>
      </c>
    </row>
    <row r="350" spans="1:28" s="51" customFormat="1" x14ac:dyDescent="0.25">
      <c r="A350" s="40"/>
      <c r="B350" s="40"/>
      <c r="C350" s="40"/>
      <c r="D350" s="594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52060.254916666658</v>
      </c>
      <c r="W350" s="77">
        <f t="shared" si="44"/>
        <v>19088.760136111108</v>
      </c>
      <c r="X350" s="77">
        <f t="shared" si="45"/>
        <v>10413.050983333342</v>
      </c>
      <c r="Y350" s="93" t="s">
        <v>780</v>
      </c>
      <c r="AB350" s="67">
        <f t="shared" si="46"/>
        <v>30</v>
      </c>
    </row>
    <row r="351" spans="1:28" s="51" customFormat="1" x14ac:dyDescent="0.25">
      <c r="A351" s="40"/>
      <c r="B351" s="40"/>
      <c r="C351" s="40"/>
      <c r="D351" s="594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52060.254916666658</v>
      </c>
      <c r="W351" s="77">
        <f t="shared" si="44"/>
        <v>19088.760136111108</v>
      </c>
      <c r="X351" s="77">
        <f t="shared" si="45"/>
        <v>10413.050983333342</v>
      </c>
      <c r="Y351" s="93" t="s">
        <v>780</v>
      </c>
      <c r="AB351" s="67">
        <f t="shared" si="46"/>
        <v>30</v>
      </c>
    </row>
    <row r="352" spans="1:28" s="51" customFormat="1" x14ac:dyDescent="0.25">
      <c r="A352" s="40"/>
      <c r="B352" s="40"/>
      <c r="C352" s="40"/>
      <c r="D352" s="594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52060.254916666658</v>
      </c>
      <c r="W352" s="77">
        <f t="shared" si="44"/>
        <v>19088.760136111108</v>
      </c>
      <c r="X352" s="77">
        <f t="shared" si="45"/>
        <v>10413.050983333342</v>
      </c>
      <c r="Y352" s="93" t="s">
        <v>780</v>
      </c>
      <c r="AB352" s="67">
        <f t="shared" si="46"/>
        <v>30</v>
      </c>
    </row>
    <row r="353" spans="1:28" s="51" customFormat="1" x14ac:dyDescent="0.25">
      <c r="A353" s="40"/>
      <c r="B353" s="40"/>
      <c r="C353" s="40"/>
      <c r="D353" s="594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52060.254916666658</v>
      </c>
      <c r="W353" s="77">
        <f t="shared" si="44"/>
        <v>19088.760136111108</v>
      </c>
      <c r="X353" s="77">
        <f t="shared" si="45"/>
        <v>10413.050983333342</v>
      </c>
      <c r="Y353" s="93" t="s">
        <v>780</v>
      </c>
      <c r="AB353" s="67">
        <f t="shared" si="46"/>
        <v>30</v>
      </c>
    </row>
    <row r="354" spans="1:28" s="51" customFormat="1" x14ac:dyDescent="0.25">
      <c r="A354" s="40"/>
      <c r="B354" s="40"/>
      <c r="C354" s="40"/>
      <c r="D354" s="594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52060.254916666658</v>
      </c>
      <c r="W354" s="77">
        <f t="shared" si="44"/>
        <v>19088.760136111108</v>
      </c>
      <c r="X354" s="77">
        <f t="shared" si="45"/>
        <v>10413.050983333342</v>
      </c>
      <c r="Y354" s="93" t="s">
        <v>780</v>
      </c>
      <c r="AB354" s="67">
        <f t="shared" si="46"/>
        <v>30</v>
      </c>
    </row>
    <row r="355" spans="1:28" s="51" customFormat="1" x14ac:dyDescent="0.25">
      <c r="A355" s="40"/>
      <c r="B355" s="40"/>
      <c r="C355" s="40"/>
      <c r="D355" s="594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52060.254916666658</v>
      </c>
      <c r="W355" s="77">
        <f t="shared" si="44"/>
        <v>19088.760136111108</v>
      </c>
      <c r="X355" s="77">
        <f t="shared" si="45"/>
        <v>10413.050983333342</v>
      </c>
      <c r="Y355" s="93" t="s">
        <v>780</v>
      </c>
      <c r="AB355" s="67">
        <f t="shared" si="46"/>
        <v>30</v>
      </c>
    </row>
    <row r="356" spans="1:28" s="51" customFormat="1" x14ac:dyDescent="0.25">
      <c r="A356" s="40"/>
      <c r="B356" s="40"/>
      <c r="C356" s="40"/>
      <c r="D356" s="594" t="s">
        <v>786</v>
      </c>
      <c r="E356" s="595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35332.5</v>
      </c>
      <c r="W356" s="77">
        <f t="shared" si="44"/>
        <v>12955.25</v>
      </c>
      <c r="X356" s="77">
        <f t="shared" si="45"/>
        <v>7067.5</v>
      </c>
      <c r="Y356" s="93"/>
      <c r="AB356" s="67">
        <f t="shared" si="46"/>
        <v>30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2020811.6206111102</v>
      </c>
      <c r="W357" s="26">
        <f>SUM(W348:W356)</f>
        <v>730852.9297055552</v>
      </c>
      <c r="X357" s="26">
        <f>SUM(X348:X356)</f>
        <v>371079.6947888888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93"/>
      <c r="E358" s="596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82578.708333333328</v>
      </c>
      <c r="W359" s="77">
        <f>+V359-U359</f>
        <v>31322.958333333328</v>
      </c>
      <c r="X359" s="77">
        <f>P359-V359</f>
        <v>19933.791666666672</v>
      </c>
      <c r="Y359" s="103" t="s">
        <v>798</v>
      </c>
      <c r="Z359" s="137"/>
      <c r="AB359" s="67">
        <f t="shared" si="46"/>
        <v>29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82578.708333333328</v>
      </c>
      <c r="W360" s="77">
        <f>+V360-U360</f>
        <v>31322.958333333328</v>
      </c>
      <c r="X360" s="77">
        <f>P360-V360</f>
        <v>19933.791666666672</v>
      </c>
      <c r="Y360" s="103" t="s">
        <v>798</v>
      </c>
      <c r="Z360" s="137"/>
      <c r="AB360" s="67">
        <f t="shared" si="46"/>
        <v>29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82578.708333333328</v>
      </c>
      <c r="W361" s="77">
        <f>+V361-U361</f>
        <v>31322.958333333328</v>
      </c>
      <c r="X361" s="77">
        <f>P361-V361</f>
        <v>19933.791666666672</v>
      </c>
      <c r="Y361" s="103" t="s">
        <v>798</v>
      </c>
      <c r="Z361" s="137"/>
      <c r="AB361" s="67">
        <f t="shared" si="46"/>
        <v>29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82578.708333333328</v>
      </c>
      <c r="W362" s="77">
        <f>+V362-U362</f>
        <v>31322.958333333328</v>
      </c>
      <c r="X362" s="77">
        <f>P362-V362</f>
        <v>19933.791666666672</v>
      </c>
      <c r="Y362" s="103" t="s">
        <v>798</v>
      </c>
      <c r="Z362" s="137"/>
      <c r="AB362" s="67">
        <f t="shared" si="46"/>
        <v>29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330314.83333333331</v>
      </c>
      <c r="W363" s="26">
        <f>SUM(W359:W362)</f>
        <v>125291.83333333331</v>
      </c>
      <c r="X363" s="26">
        <f>SUM(X359:X362)</f>
        <v>79735.166666666686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3753416.3138555544</v>
      </c>
      <c r="W365" s="26">
        <f>+W363+W357+W348+W346</f>
        <v>1266464.5980833329</v>
      </c>
      <c r="X365" s="26">
        <f>+X363+X357+X348+X346</f>
        <v>588722.65034444444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17086532.666534442</v>
      </c>
      <c r="W367" s="86">
        <f>+W365+W318</f>
        <v>1405373.1702486107</v>
      </c>
      <c r="X367" s="86">
        <f>+X365+X318</f>
        <v>588998.65034444456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106573.38611111112</v>
      </c>
      <c r="W370" s="77">
        <f>+V370-U370</f>
        <v>90177.480555555565</v>
      </c>
      <c r="X370" s="77">
        <f>P370-V370</f>
        <v>188553.91388888887</v>
      </c>
      <c r="Y370" s="104" t="s">
        <v>809</v>
      </c>
      <c r="AB370" s="67">
        <f>IF((DATEDIF(I370,AB$4,"m"))&gt;=36,36,(DATEDIF(I370,AB$4,"m")))</f>
        <v>13</v>
      </c>
    </row>
    <row r="371" spans="1:28" s="111" customFormat="1" x14ac:dyDescent="0.25">
      <c r="A371" s="98"/>
      <c r="B371" s="98"/>
      <c r="C371" s="98"/>
      <c r="D371" s="597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106573.38611111112</v>
      </c>
      <c r="W371" s="113">
        <f>SUM(W370)</f>
        <v>90177.480555555565</v>
      </c>
      <c r="X371" s="113">
        <f>SUM(X370)</f>
        <v>188553.91388888887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3484.166666666667</v>
      </c>
      <c r="W373" s="77">
        <f>+V373-U373</f>
        <v>3193.8194444444448</v>
      </c>
      <c r="X373" s="77">
        <f>P373-V373</f>
        <v>6969.333333333333</v>
      </c>
      <c r="Y373" s="33" t="s">
        <v>814</v>
      </c>
      <c r="AB373" s="67">
        <f>IF((DATEDIF(I373,AB$4,"m"))&gt;=36,36,(DATEDIF(I373,AB$4,"m")))</f>
        <v>12</v>
      </c>
    </row>
    <row r="374" spans="1:28" s="111" customFormat="1" x14ac:dyDescent="0.25">
      <c r="A374" s="98"/>
      <c r="B374" s="98"/>
      <c r="C374" s="98"/>
      <c r="D374" s="597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3484.166666666667</v>
      </c>
      <c r="W374" s="113">
        <f>SUM(W372:W373)</f>
        <v>3193.8194444444448</v>
      </c>
      <c r="X374" s="113">
        <f>SUM(X372:X373)</f>
        <v>6969.333333333333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7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8">
        <f>+P371+P374</f>
        <v>305580.79999999999</v>
      </c>
      <c r="Q376" s="623"/>
      <c r="R376" s="623"/>
      <c r="S376" s="103"/>
      <c r="T376" s="598">
        <f>+T371+T374</f>
        <v>8488.3000000000011</v>
      </c>
      <c r="U376" s="598">
        <v>16686.25277777778</v>
      </c>
      <c r="V376" s="598">
        <f>+V371+V374</f>
        <v>110057.55277777779</v>
      </c>
      <c r="W376" s="598">
        <f>+W371+W374</f>
        <v>93371.3</v>
      </c>
      <c r="X376" s="598">
        <f>+X371+X374</f>
        <v>195523.24722222221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17196590.219312221</v>
      </c>
      <c r="W378" s="86">
        <f t="shared" si="48"/>
        <v>1498744.4702486107</v>
      </c>
      <c r="X378" s="86">
        <f t="shared" si="48"/>
        <v>784521.89756666683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2760</v>
      </c>
      <c r="E380" s="97"/>
      <c r="F380" s="97" t="s">
        <v>2761</v>
      </c>
      <c r="G380" s="97" t="s">
        <v>2762</v>
      </c>
      <c r="H380" s="97" t="s">
        <v>2763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2764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36187.616666666669</v>
      </c>
      <c r="W380" s="77">
        <f>+V380-U380</f>
        <v>36187.616666666669</v>
      </c>
      <c r="X380" s="77">
        <f>P380-V380</f>
        <v>94088.80333333333</v>
      </c>
      <c r="Y380" s="104" t="s">
        <v>809</v>
      </c>
      <c r="AB380" s="67">
        <f>IF((DATEDIF(I380,AB$4,"m"))&gt;=36,36,(DATEDIF(I380,AB$4,"m")))</f>
        <v>10</v>
      </c>
    </row>
    <row r="381" spans="1:28" s="111" customFormat="1" x14ac:dyDescent="0.25">
      <c r="A381" s="98"/>
      <c r="B381" s="98"/>
      <c r="C381" s="98"/>
      <c r="D381" s="597" t="s">
        <v>2765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36187.616666666669</v>
      </c>
      <c r="W381" s="113">
        <f>SUM(W380)</f>
        <v>36187.616666666669</v>
      </c>
      <c r="X381" s="113">
        <f>SUM(X380)</f>
        <v>94088.80333333333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2770</v>
      </c>
      <c r="E383" s="97" t="s">
        <v>2771</v>
      </c>
      <c r="F383" s="97" t="s">
        <v>2772</v>
      </c>
      <c r="G383" s="97" t="s">
        <v>2773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2774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6869</v>
      </c>
      <c r="W383" s="77">
        <f>+V383-U383</f>
        <v>6869</v>
      </c>
      <c r="X383" s="77">
        <f>P383-V383</f>
        <v>20608</v>
      </c>
      <c r="Y383" s="104"/>
      <c r="AB383" s="67">
        <f>IF((DATEDIF(I383,AB$4,"m"))&gt;=36,36,(DATEDIF(I383,AB$4,"m")))</f>
        <v>9</v>
      </c>
    </row>
    <row r="384" spans="1:28" s="111" customFormat="1" x14ac:dyDescent="0.25">
      <c r="A384" s="98"/>
      <c r="B384" s="98"/>
      <c r="C384" s="98"/>
      <c r="D384" s="597" t="s">
        <v>2775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6869</v>
      </c>
      <c r="W384" s="113">
        <f>SUM(W383)</f>
        <v>6869</v>
      </c>
      <c r="X384" s="113">
        <f>SUM(X383)</f>
        <v>20608</v>
      </c>
      <c r="AB384" s="137"/>
    </row>
    <row r="385" spans="1:28" s="111" customFormat="1" x14ac:dyDescent="0.25">
      <c r="A385" s="98"/>
      <c r="B385" s="98"/>
      <c r="C385" s="98"/>
      <c r="D385" s="597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2776</v>
      </c>
      <c r="E386" s="97"/>
      <c r="F386" s="97" t="s">
        <v>2777</v>
      </c>
      <c r="G386" s="97"/>
      <c r="H386" s="40" t="s">
        <v>2778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2779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66031.773333333331</v>
      </c>
      <c r="W386" s="77">
        <f>+V386-U386</f>
        <v>66031.773333333331</v>
      </c>
      <c r="X386" s="77">
        <f>P386-V386</f>
        <v>231112.20666666667</v>
      </c>
      <c r="Y386" s="104"/>
      <c r="AB386" s="67">
        <f>IF((DATEDIF(I386,AB$4,"m"))&gt;=36,36,(DATEDIF(I386,AB$4,"m")))</f>
        <v>8</v>
      </c>
    </row>
    <row r="387" spans="1:28" s="103" customFormat="1" ht="14.25" customHeight="1" x14ac:dyDescent="0.25">
      <c r="A387" s="97"/>
      <c r="B387" s="97"/>
      <c r="C387" s="97"/>
      <c r="D387" s="7" t="s">
        <v>2780</v>
      </c>
      <c r="E387" s="97" t="s">
        <v>84</v>
      </c>
      <c r="F387" s="97" t="s">
        <v>2781</v>
      </c>
      <c r="G387" s="201" t="s">
        <v>2782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2783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9061.6222222222223</v>
      </c>
      <c r="W387" s="77">
        <f>+V387-U387</f>
        <v>9061.6222222222223</v>
      </c>
      <c r="X387" s="77">
        <f>P387-V387</f>
        <v>31716.677777777782</v>
      </c>
      <c r="Y387" s="104"/>
      <c r="AB387" s="67">
        <f>IF((DATEDIF(I387,AB$4,"m"))&gt;=36,36,(DATEDIF(I387,AB$4,"m")))</f>
        <v>8</v>
      </c>
    </row>
    <row r="388" spans="1:28" s="103" customFormat="1" ht="14.25" customHeight="1" x14ac:dyDescent="0.25">
      <c r="A388" s="97"/>
      <c r="B388" s="97"/>
      <c r="C388" s="97"/>
      <c r="D388" s="7" t="s">
        <v>2780</v>
      </c>
      <c r="E388" s="97" t="s">
        <v>84</v>
      </c>
      <c r="F388" s="97" t="s">
        <v>2781</v>
      </c>
      <c r="G388" s="201" t="s">
        <v>2784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2783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9061.6222222222223</v>
      </c>
      <c r="W388" s="77">
        <f t="shared" ref="W388:W417" si="51">+V388-U388</f>
        <v>9061.6222222222223</v>
      </c>
      <c r="X388" s="77">
        <f t="shared" ref="X388:X417" si="52">P388-V388</f>
        <v>31716.677777777782</v>
      </c>
      <c r="Y388" s="104"/>
      <c r="AB388" s="67">
        <f t="shared" ref="AB388:AB416" si="53">IF((DATEDIF(I388,AB$4,"m"))&gt;=36,36,(DATEDIF(I388,AB$4,"m")))</f>
        <v>8</v>
      </c>
    </row>
    <row r="389" spans="1:28" s="103" customFormat="1" ht="14.25" customHeight="1" x14ac:dyDescent="0.25">
      <c r="A389" s="97"/>
      <c r="B389" s="97"/>
      <c r="C389" s="97"/>
      <c r="D389" s="7" t="s">
        <v>2780</v>
      </c>
      <c r="E389" s="97" t="s">
        <v>84</v>
      </c>
      <c r="F389" s="97" t="s">
        <v>2781</v>
      </c>
      <c r="G389" s="201" t="s">
        <v>2785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2783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9061.6222222222223</v>
      </c>
      <c r="W389" s="77">
        <f t="shared" si="51"/>
        <v>9061.6222222222223</v>
      </c>
      <c r="X389" s="77">
        <f t="shared" si="52"/>
        <v>31716.677777777782</v>
      </c>
      <c r="Y389" s="104"/>
      <c r="AB389" s="67">
        <f t="shared" si="53"/>
        <v>8</v>
      </c>
    </row>
    <row r="390" spans="1:28" s="103" customFormat="1" ht="14.25" customHeight="1" x14ac:dyDescent="0.25">
      <c r="A390" s="97"/>
      <c r="B390" s="97"/>
      <c r="C390" s="97"/>
      <c r="D390" s="7" t="s">
        <v>2780</v>
      </c>
      <c r="E390" s="97" t="s">
        <v>84</v>
      </c>
      <c r="F390" s="97" t="s">
        <v>2781</v>
      </c>
      <c r="G390" s="201" t="s">
        <v>2786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2783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9061.6222222222223</v>
      </c>
      <c r="W390" s="77">
        <f t="shared" si="51"/>
        <v>9061.6222222222223</v>
      </c>
      <c r="X390" s="77">
        <f t="shared" si="52"/>
        <v>31716.677777777782</v>
      </c>
      <c r="Y390" s="104"/>
      <c r="AB390" s="67">
        <f t="shared" si="53"/>
        <v>8</v>
      </c>
    </row>
    <row r="391" spans="1:28" s="103" customFormat="1" ht="14.25" customHeight="1" x14ac:dyDescent="0.25">
      <c r="A391" s="97"/>
      <c r="B391" s="97"/>
      <c r="C391" s="97"/>
      <c r="D391" s="7" t="s">
        <v>2780</v>
      </c>
      <c r="E391" s="97" t="s">
        <v>84</v>
      </c>
      <c r="F391" s="97" t="s">
        <v>2781</v>
      </c>
      <c r="G391" s="201" t="s">
        <v>2787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2783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9061.6222222222223</v>
      </c>
      <c r="W391" s="77">
        <f t="shared" si="51"/>
        <v>9061.6222222222223</v>
      </c>
      <c r="X391" s="77">
        <f t="shared" si="52"/>
        <v>31716.677777777782</v>
      </c>
      <c r="Y391" s="104"/>
      <c r="AB391" s="67">
        <f t="shared" si="53"/>
        <v>8</v>
      </c>
    </row>
    <row r="392" spans="1:28" s="103" customFormat="1" ht="14.25" customHeight="1" x14ac:dyDescent="0.25">
      <c r="A392" s="97"/>
      <c r="B392" s="97"/>
      <c r="C392" s="97"/>
      <c r="D392" s="7" t="s">
        <v>2780</v>
      </c>
      <c r="E392" s="97" t="s">
        <v>84</v>
      </c>
      <c r="F392" s="97" t="s">
        <v>2781</v>
      </c>
      <c r="G392" s="201" t="s">
        <v>2788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2783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9061.6222222222223</v>
      </c>
      <c r="W392" s="77">
        <f t="shared" si="51"/>
        <v>9061.6222222222223</v>
      </c>
      <c r="X392" s="77">
        <f t="shared" si="52"/>
        <v>31716.677777777782</v>
      </c>
      <c r="Y392" s="104"/>
      <c r="AB392" s="67">
        <f t="shared" si="53"/>
        <v>8</v>
      </c>
    </row>
    <row r="393" spans="1:28" s="103" customFormat="1" ht="14.25" customHeight="1" x14ac:dyDescent="0.25">
      <c r="A393" s="97"/>
      <c r="B393" s="97"/>
      <c r="C393" s="97"/>
      <c r="D393" s="7" t="s">
        <v>2780</v>
      </c>
      <c r="E393" s="97" t="s">
        <v>84</v>
      </c>
      <c r="F393" s="97" t="s">
        <v>2781</v>
      </c>
      <c r="G393" s="201" t="s">
        <v>2789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2783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9061.6222222222223</v>
      </c>
      <c r="W393" s="77">
        <f t="shared" si="51"/>
        <v>9061.6222222222223</v>
      </c>
      <c r="X393" s="77">
        <f t="shared" si="52"/>
        <v>31716.677777777782</v>
      </c>
      <c r="Y393" s="104"/>
      <c r="AB393" s="67">
        <f t="shared" si="53"/>
        <v>8</v>
      </c>
    </row>
    <row r="394" spans="1:28" s="103" customFormat="1" ht="14.25" customHeight="1" x14ac:dyDescent="0.25">
      <c r="A394" s="97"/>
      <c r="B394" s="97"/>
      <c r="C394" s="97"/>
      <c r="D394" s="7" t="s">
        <v>2780</v>
      </c>
      <c r="E394" s="97" t="s">
        <v>84</v>
      </c>
      <c r="F394" s="97" t="s">
        <v>2781</v>
      </c>
      <c r="G394" s="201" t="s">
        <v>2790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2783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9061.6222222222223</v>
      </c>
      <c r="W394" s="77">
        <f t="shared" si="51"/>
        <v>9061.6222222222223</v>
      </c>
      <c r="X394" s="77">
        <f t="shared" si="52"/>
        <v>31716.677777777782</v>
      </c>
      <c r="Y394" s="104"/>
      <c r="AB394" s="67">
        <f t="shared" si="53"/>
        <v>8</v>
      </c>
    </row>
    <row r="395" spans="1:28" s="103" customFormat="1" ht="14.25" customHeight="1" x14ac:dyDescent="0.25">
      <c r="A395" s="97"/>
      <c r="B395" s="97"/>
      <c r="C395" s="97"/>
      <c r="D395" s="7" t="s">
        <v>2780</v>
      </c>
      <c r="E395" s="97" t="s">
        <v>84</v>
      </c>
      <c r="F395" s="97" t="s">
        <v>2781</v>
      </c>
      <c r="G395" s="201" t="s">
        <v>2791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2783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9061.6222222222223</v>
      </c>
      <c r="W395" s="77">
        <f t="shared" si="51"/>
        <v>9061.6222222222223</v>
      </c>
      <c r="X395" s="77">
        <f t="shared" si="52"/>
        <v>31716.677777777782</v>
      </c>
      <c r="Y395" s="104"/>
      <c r="AB395" s="67">
        <f t="shared" si="53"/>
        <v>8</v>
      </c>
    </row>
    <row r="396" spans="1:28" s="103" customFormat="1" ht="14.25" customHeight="1" x14ac:dyDescent="0.25">
      <c r="A396" s="97"/>
      <c r="B396" s="97"/>
      <c r="C396" s="97"/>
      <c r="D396" s="7" t="s">
        <v>2780</v>
      </c>
      <c r="E396" s="97" t="s">
        <v>84</v>
      </c>
      <c r="F396" s="97" t="s">
        <v>2781</v>
      </c>
      <c r="G396" s="201" t="s">
        <v>2792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2783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9061.6222222222223</v>
      </c>
      <c r="W396" s="77">
        <f t="shared" si="51"/>
        <v>9061.6222222222223</v>
      </c>
      <c r="X396" s="77">
        <f t="shared" si="52"/>
        <v>31716.677777777782</v>
      </c>
      <c r="Y396" s="104"/>
      <c r="AB396" s="67">
        <f t="shared" si="53"/>
        <v>8</v>
      </c>
    </row>
    <row r="397" spans="1:28" s="103" customFormat="1" ht="14.25" customHeight="1" x14ac:dyDescent="0.25">
      <c r="A397" s="97"/>
      <c r="B397" s="97"/>
      <c r="C397" s="97"/>
      <c r="D397" s="7" t="s">
        <v>2780</v>
      </c>
      <c r="E397" s="97" t="s">
        <v>84</v>
      </c>
      <c r="F397" s="97" t="s">
        <v>2781</v>
      </c>
      <c r="G397" s="201" t="s">
        <v>2793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2783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9061.6222222222223</v>
      </c>
      <c r="W397" s="77">
        <f t="shared" si="51"/>
        <v>9061.6222222222223</v>
      </c>
      <c r="X397" s="77">
        <f t="shared" si="52"/>
        <v>31716.677777777782</v>
      </c>
      <c r="Y397" s="104"/>
      <c r="AB397" s="67">
        <f t="shared" si="53"/>
        <v>8</v>
      </c>
    </row>
    <row r="398" spans="1:28" s="103" customFormat="1" ht="14.25" customHeight="1" x14ac:dyDescent="0.25">
      <c r="A398" s="97"/>
      <c r="B398" s="97"/>
      <c r="C398" s="97"/>
      <c r="D398" s="7" t="s">
        <v>2780</v>
      </c>
      <c r="E398" s="97" t="s">
        <v>84</v>
      </c>
      <c r="F398" s="97" t="s">
        <v>2781</v>
      </c>
      <c r="G398" s="201" t="s">
        <v>2794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2783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9061.6222222222223</v>
      </c>
      <c r="W398" s="77">
        <f t="shared" si="51"/>
        <v>9061.6222222222223</v>
      </c>
      <c r="X398" s="77">
        <f t="shared" si="52"/>
        <v>31716.677777777782</v>
      </c>
      <c r="Y398" s="104"/>
      <c r="AB398" s="67">
        <f t="shared" si="53"/>
        <v>8</v>
      </c>
    </row>
    <row r="399" spans="1:28" s="103" customFormat="1" ht="14.25" customHeight="1" x14ac:dyDescent="0.25">
      <c r="A399" s="97"/>
      <c r="B399" s="97"/>
      <c r="C399" s="97"/>
      <c r="D399" s="7" t="s">
        <v>2780</v>
      </c>
      <c r="E399" s="97" t="s">
        <v>84</v>
      </c>
      <c r="F399" s="97" t="s">
        <v>2781</v>
      </c>
      <c r="G399" s="201" t="s">
        <v>2795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2783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9061.6222222222223</v>
      </c>
      <c r="W399" s="77">
        <f t="shared" si="51"/>
        <v>9061.6222222222223</v>
      </c>
      <c r="X399" s="77">
        <f t="shared" si="52"/>
        <v>31716.677777777782</v>
      </c>
      <c r="Y399" s="104"/>
      <c r="AB399" s="67">
        <f t="shared" si="53"/>
        <v>8</v>
      </c>
    </row>
    <row r="400" spans="1:28" s="103" customFormat="1" ht="14.25" customHeight="1" x14ac:dyDescent="0.25">
      <c r="A400" s="97"/>
      <c r="B400" s="97"/>
      <c r="C400" s="97"/>
      <c r="D400" s="7" t="s">
        <v>2780</v>
      </c>
      <c r="E400" s="97" t="s">
        <v>84</v>
      </c>
      <c r="F400" s="97" t="s">
        <v>2781</v>
      </c>
      <c r="G400" s="201" t="s">
        <v>2796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2783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9061.6222222222223</v>
      </c>
      <c r="W400" s="77">
        <f t="shared" si="51"/>
        <v>9061.6222222222223</v>
      </c>
      <c r="X400" s="77">
        <f t="shared" si="52"/>
        <v>31716.677777777782</v>
      </c>
      <c r="Y400" s="104"/>
      <c r="AB400" s="67">
        <f t="shared" si="53"/>
        <v>8</v>
      </c>
    </row>
    <row r="401" spans="1:28" s="103" customFormat="1" ht="14.25" customHeight="1" x14ac:dyDescent="0.25">
      <c r="A401" s="97"/>
      <c r="B401" s="97"/>
      <c r="C401" s="97"/>
      <c r="D401" s="7" t="s">
        <v>2780</v>
      </c>
      <c r="E401" s="97" t="s">
        <v>84</v>
      </c>
      <c r="F401" s="97" t="s">
        <v>2781</v>
      </c>
      <c r="G401" s="201" t="s">
        <v>2797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2783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9061.6222222222223</v>
      </c>
      <c r="W401" s="77">
        <f t="shared" si="51"/>
        <v>9061.6222222222223</v>
      </c>
      <c r="X401" s="77">
        <f t="shared" si="52"/>
        <v>31716.677777777782</v>
      </c>
      <c r="Y401" s="104"/>
      <c r="AB401" s="67">
        <f t="shared" si="53"/>
        <v>8</v>
      </c>
    </row>
    <row r="402" spans="1:28" s="103" customFormat="1" ht="14.25" customHeight="1" x14ac:dyDescent="0.25">
      <c r="A402" s="97"/>
      <c r="B402" s="97"/>
      <c r="C402" s="97"/>
      <c r="D402" s="7" t="s">
        <v>2798</v>
      </c>
      <c r="E402" s="97" t="s">
        <v>84</v>
      </c>
      <c r="F402" s="97" t="s">
        <v>2799</v>
      </c>
      <c r="G402" s="97" t="s">
        <v>2800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2783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1174.691111111111</v>
      </c>
      <c r="W402" s="77">
        <f t="shared" si="51"/>
        <v>1174.691111111111</v>
      </c>
      <c r="X402" s="77">
        <f t="shared" si="52"/>
        <v>4112.4188888888884</v>
      </c>
      <c r="Y402" s="104"/>
      <c r="AB402" s="67">
        <f t="shared" si="53"/>
        <v>8</v>
      </c>
    </row>
    <row r="403" spans="1:28" s="103" customFormat="1" ht="14.25" customHeight="1" x14ac:dyDescent="0.25">
      <c r="A403" s="97"/>
      <c r="B403" s="97"/>
      <c r="C403" s="97"/>
      <c r="D403" s="7" t="s">
        <v>2798</v>
      </c>
      <c r="E403" s="97" t="s">
        <v>84</v>
      </c>
      <c r="F403" s="97" t="s">
        <v>2799</v>
      </c>
      <c r="G403" s="97" t="s">
        <v>2801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2783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1174.691111111111</v>
      </c>
      <c r="W403" s="77">
        <f t="shared" si="51"/>
        <v>1174.691111111111</v>
      </c>
      <c r="X403" s="77">
        <f t="shared" si="52"/>
        <v>4112.4188888888884</v>
      </c>
      <c r="Y403" s="104"/>
      <c r="AB403" s="67">
        <f t="shared" si="53"/>
        <v>8</v>
      </c>
    </row>
    <row r="404" spans="1:28" s="103" customFormat="1" ht="14.25" customHeight="1" x14ac:dyDescent="0.25">
      <c r="A404" s="97"/>
      <c r="B404" s="97"/>
      <c r="C404" s="97"/>
      <c r="D404" s="7" t="s">
        <v>2798</v>
      </c>
      <c r="E404" s="97" t="s">
        <v>84</v>
      </c>
      <c r="F404" s="97" t="s">
        <v>2799</v>
      </c>
      <c r="G404" s="97" t="s">
        <v>2802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2783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1174.691111111111</v>
      </c>
      <c r="W404" s="77">
        <f t="shared" si="51"/>
        <v>1174.691111111111</v>
      </c>
      <c r="X404" s="77">
        <f t="shared" si="52"/>
        <v>4112.4188888888884</v>
      </c>
      <c r="Y404" s="104"/>
      <c r="AB404" s="67">
        <f t="shared" si="53"/>
        <v>8</v>
      </c>
    </row>
    <row r="405" spans="1:28" s="103" customFormat="1" ht="14.25" customHeight="1" x14ac:dyDescent="0.25">
      <c r="A405" s="97"/>
      <c r="B405" s="97"/>
      <c r="C405" s="97"/>
      <c r="D405" s="7" t="s">
        <v>2798</v>
      </c>
      <c r="E405" s="97" t="s">
        <v>84</v>
      </c>
      <c r="F405" s="97" t="s">
        <v>2799</v>
      </c>
      <c r="G405" s="97" t="s">
        <v>2803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2783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1174.691111111111</v>
      </c>
      <c r="W405" s="77">
        <f t="shared" si="51"/>
        <v>1174.691111111111</v>
      </c>
      <c r="X405" s="77">
        <f t="shared" si="52"/>
        <v>4112.4188888888884</v>
      </c>
      <c r="Y405" s="104"/>
      <c r="AB405" s="67">
        <f t="shared" si="53"/>
        <v>8</v>
      </c>
    </row>
    <row r="406" spans="1:28" s="103" customFormat="1" ht="14.25" customHeight="1" x14ac:dyDescent="0.25">
      <c r="A406" s="97"/>
      <c r="B406" s="97"/>
      <c r="C406" s="97"/>
      <c r="D406" s="7" t="s">
        <v>2798</v>
      </c>
      <c r="E406" s="97" t="s">
        <v>84</v>
      </c>
      <c r="F406" s="97" t="s">
        <v>2799</v>
      </c>
      <c r="G406" s="97" t="s">
        <v>2804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2783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1174.691111111111</v>
      </c>
      <c r="W406" s="77">
        <f t="shared" si="51"/>
        <v>1174.691111111111</v>
      </c>
      <c r="X406" s="77">
        <f t="shared" si="52"/>
        <v>4112.4188888888884</v>
      </c>
      <c r="Y406" s="104"/>
      <c r="AB406" s="67">
        <f t="shared" si="53"/>
        <v>8</v>
      </c>
    </row>
    <row r="407" spans="1:28" s="103" customFormat="1" ht="14.25" customHeight="1" x14ac:dyDescent="0.25">
      <c r="A407" s="97"/>
      <c r="B407" s="97"/>
      <c r="C407" s="97"/>
      <c r="D407" s="7" t="s">
        <v>2798</v>
      </c>
      <c r="E407" s="97" t="s">
        <v>84</v>
      </c>
      <c r="F407" s="97" t="s">
        <v>2799</v>
      </c>
      <c r="G407" s="97" t="s">
        <v>2805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2783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1174.691111111111</v>
      </c>
      <c r="W407" s="77">
        <f t="shared" si="51"/>
        <v>1174.691111111111</v>
      </c>
      <c r="X407" s="77">
        <f t="shared" si="52"/>
        <v>4112.4188888888884</v>
      </c>
      <c r="Y407" s="104"/>
      <c r="AB407" s="67">
        <f t="shared" si="53"/>
        <v>8</v>
      </c>
    </row>
    <row r="408" spans="1:28" s="103" customFormat="1" ht="14.25" customHeight="1" x14ac:dyDescent="0.25">
      <c r="A408" s="97"/>
      <c r="B408" s="97"/>
      <c r="C408" s="97"/>
      <c r="D408" s="7" t="s">
        <v>2798</v>
      </c>
      <c r="E408" s="97" t="s">
        <v>84</v>
      </c>
      <c r="F408" s="97" t="s">
        <v>2799</v>
      </c>
      <c r="G408" s="97" t="s">
        <v>2806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2783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1174.691111111111</v>
      </c>
      <c r="W408" s="77">
        <f t="shared" si="51"/>
        <v>1174.691111111111</v>
      </c>
      <c r="X408" s="77">
        <f t="shared" si="52"/>
        <v>4112.4188888888884</v>
      </c>
      <c r="Y408" s="104"/>
      <c r="AB408" s="67">
        <f t="shared" si="53"/>
        <v>8</v>
      </c>
    </row>
    <row r="409" spans="1:28" s="103" customFormat="1" ht="14.25" customHeight="1" x14ac:dyDescent="0.25">
      <c r="A409" s="97"/>
      <c r="B409" s="97"/>
      <c r="C409" s="97"/>
      <c r="D409" s="7" t="s">
        <v>2798</v>
      </c>
      <c r="E409" s="97" t="s">
        <v>84</v>
      </c>
      <c r="F409" s="97" t="s">
        <v>2799</v>
      </c>
      <c r="G409" s="97" t="s">
        <v>2807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2783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1174.691111111111</v>
      </c>
      <c r="W409" s="77">
        <f t="shared" si="51"/>
        <v>1174.691111111111</v>
      </c>
      <c r="X409" s="77">
        <f t="shared" si="52"/>
        <v>4112.4188888888884</v>
      </c>
      <c r="Y409" s="104"/>
      <c r="AB409" s="67">
        <f t="shared" si="53"/>
        <v>8</v>
      </c>
    </row>
    <row r="410" spans="1:28" s="103" customFormat="1" ht="14.25" customHeight="1" x14ac:dyDescent="0.25">
      <c r="A410" s="97"/>
      <c r="B410" s="97"/>
      <c r="C410" s="97"/>
      <c r="D410" s="7" t="s">
        <v>2798</v>
      </c>
      <c r="E410" s="97" t="s">
        <v>84</v>
      </c>
      <c r="F410" s="97" t="s">
        <v>2799</v>
      </c>
      <c r="G410" s="97" t="s">
        <v>2808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2783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1174.691111111111</v>
      </c>
      <c r="W410" s="77">
        <f t="shared" si="51"/>
        <v>1174.691111111111</v>
      </c>
      <c r="X410" s="77">
        <f t="shared" si="52"/>
        <v>4112.4188888888884</v>
      </c>
      <c r="Y410" s="104"/>
      <c r="AB410" s="67">
        <f t="shared" si="53"/>
        <v>8</v>
      </c>
    </row>
    <row r="411" spans="1:28" s="103" customFormat="1" ht="14.25" customHeight="1" x14ac:dyDescent="0.25">
      <c r="A411" s="97"/>
      <c r="B411" s="97"/>
      <c r="C411" s="97"/>
      <c r="D411" s="7" t="s">
        <v>2798</v>
      </c>
      <c r="E411" s="97" t="s">
        <v>84</v>
      </c>
      <c r="F411" s="97" t="s">
        <v>2799</v>
      </c>
      <c r="G411" s="97" t="s">
        <v>2809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2783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1174.691111111111</v>
      </c>
      <c r="W411" s="77">
        <f t="shared" si="51"/>
        <v>1174.691111111111</v>
      </c>
      <c r="X411" s="77">
        <f t="shared" si="52"/>
        <v>4112.4188888888884</v>
      </c>
      <c r="Y411" s="104"/>
      <c r="AB411" s="67">
        <f t="shared" si="53"/>
        <v>8</v>
      </c>
    </row>
    <row r="412" spans="1:28" s="103" customFormat="1" ht="14.25" customHeight="1" x14ac:dyDescent="0.25">
      <c r="A412" s="97"/>
      <c r="B412" s="97"/>
      <c r="C412" s="97"/>
      <c r="D412" s="7" t="s">
        <v>2798</v>
      </c>
      <c r="E412" s="97" t="s">
        <v>84</v>
      </c>
      <c r="F412" s="97" t="s">
        <v>2799</v>
      </c>
      <c r="G412" s="97" t="s">
        <v>2810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2783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1174.691111111111</v>
      </c>
      <c r="W412" s="77">
        <f t="shared" si="51"/>
        <v>1174.691111111111</v>
      </c>
      <c r="X412" s="77">
        <f t="shared" si="52"/>
        <v>4112.4188888888884</v>
      </c>
      <c r="Y412" s="104"/>
      <c r="AB412" s="67">
        <f t="shared" si="53"/>
        <v>8</v>
      </c>
    </row>
    <row r="413" spans="1:28" s="103" customFormat="1" ht="14.25" customHeight="1" x14ac:dyDescent="0.25">
      <c r="A413" s="97"/>
      <c r="B413" s="97"/>
      <c r="C413" s="97"/>
      <c r="D413" s="7" t="s">
        <v>2798</v>
      </c>
      <c r="E413" s="97" t="s">
        <v>84</v>
      </c>
      <c r="F413" s="97" t="s">
        <v>2799</v>
      </c>
      <c r="G413" s="97" t="s">
        <v>2811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2783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1174.691111111111</v>
      </c>
      <c r="W413" s="77">
        <f t="shared" si="51"/>
        <v>1174.691111111111</v>
      </c>
      <c r="X413" s="77">
        <f t="shared" si="52"/>
        <v>4112.4188888888884</v>
      </c>
      <c r="Y413" s="104"/>
      <c r="AB413" s="67">
        <f t="shared" si="53"/>
        <v>8</v>
      </c>
    </row>
    <row r="414" spans="1:28" s="103" customFormat="1" ht="14.25" customHeight="1" x14ac:dyDescent="0.25">
      <c r="A414" s="97"/>
      <c r="B414" s="97"/>
      <c r="C414" s="97"/>
      <c r="D414" s="7" t="s">
        <v>2798</v>
      </c>
      <c r="E414" s="97" t="s">
        <v>84</v>
      </c>
      <c r="F414" s="97" t="s">
        <v>2799</v>
      </c>
      <c r="G414" s="97" t="s">
        <v>2812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2783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1174.691111111111</v>
      </c>
      <c r="W414" s="77">
        <f t="shared" si="51"/>
        <v>1174.691111111111</v>
      </c>
      <c r="X414" s="77">
        <f t="shared" si="52"/>
        <v>4112.4188888888884</v>
      </c>
      <c r="Y414" s="104"/>
      <c r="AB414" s="67">
        <f t="shared" si="53"/>
        <v>8</v>
      </c>
    </row>
    <row r="415" spans="1:28" s="103" customFormat="1" ht="14.25" customHeight="1" x14ac:dyDescent="0.25">
      <c r="A415" s="97"/>
      <c r="B415" s="97"/>
      <c r="C415" s="97"/>
      <c r="D415" s="7" t="s">
        <v>2798</v>
      </c>
      <c r="E415" s="97" t="s">
        <v>84</v>
      </c>
      <c r="F415" s="97" t="s">
        <v>2799</v>
      </c>
      <c r="G415" s="97" t="s">
        <v>2813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2783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1174.691111111111</v>
      </c>
      <c r="W415" s="77">
        <f t="shared" si="51"/>
        <v>1174.691111111111</v>
      </c>
      <c r="X415" s="77">
        <f t="shared" si="52"/>
        <v>4112.4188888888884</v>
      </c>
      <c r="Y415" s="104"/>
      <c r="AB415" s="67">
        <f t="shared" si="53"/>
        <v>8</v>
      </c>
    </row>
    <row r="416" spans="1:28" s="103" customFormat="1" ht="14.25" customHeight="1" x14ac:dyDescent="0.25">
      <c r="A416" s="97"/>
      <c r="B416" s="97"/>
      <c r="C416" s="97"/>
      <c r="D416" s="7" t="s">
        <v>2798</v>
      </c>
      <c r="E416" s="97" t="s">
        <v>84</v>
      </c>
      <c r="F416" s="97" t="s">
        <v>2799</v>
      </c>
      <c r="G416" s="97" t="s">
        <v>2814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2783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1174.691111111111</v>
      </c>
      <c r="W416" s="77">
        <f t="shared" si="51"/>
        <v>1174.691111111111</v>
      </c>
      <c r="X416" s="77">
        <f t="shared" si="52"/>
        <v>4112.4188888888884</v>
      </c>
      <c r="Y416" s="104"/>
      <c r="AB416" s="67">
        <f t="shared" si="53"/>
        <v>8</v>
      </c>
    </row>
    <row r="417" spans="1:28" s="103" customFormat="1" ht="14.25" customHeight="1" x14ac:dyDescent="0.25">
      <c r="A417" s="97"/>
      <c r="B417" s="97"/>
      <c r="C417" s="97"/>
      <c r="D417" s="7" t="s">
        <v>2815</v>
      </c>
      <c r="E417" s="97" t="s">
        <v>714</v>
      </c>
      <c r="F417" s="97" t="s">
        <v>2816</v>
      </c>
      <c r="G417" s="97" t="s">
        <v>2817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2783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10881.953333333333</v>
      </c>
      <c r="W417" s="77">
        <f t="shared" si="51"/>
        <v>10881.953333333333</v>
      </c>
      <c r="X417" s="77">
        <f t="shared" si="52"/>
        <v>38087.83666666667</v>
      </c>
      <c r="Y417" s="104"/>
      <c r="AB417" s="67">
        <f>IF((DATEDIF(I417,AB$4,"m"))&gt;=36,36,(DATEDIF(I417,AB$4,"m")))</f>
        <v>8</v>
      </c>
    </row>
    <row r="418" spans="1:28" s="111" customFormat="1" x14ac:dyDescent="0.25">
      <c r="A418" s="98"/>
      <c r="B418" s="98"/>
      <c r="C418" s="98"/>
      <c r="D418" s="597" t="s">
        <v>2818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230458.42666666664</v>
      </c>
      <c r="W418" s="109">
        <f t="shared" si="54"/>
        <v>230458.42666666664</v>
      </c>
      <c r="X418" s="109">
        <f t="shared" si="54"/>
        <v>806636.49333333352</v>
      </c>
      <c r="AB418" s="137"/>
    </row>
    <row r="419" spans="1:28" s="111" customFormat="1" x14ac:dyDescent="0.25">
      <c r="A419" s="98"/>
      <c r="B419" s="98"/>
      <c r="C419" s="98"/>
      <c r="D419" s="597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2839</v>
      </c>
      <c r="E420" s="97" t="s">
        <v>2840</v>
      </c>
      <c r="F420" s="97" t="s">
        <v>2841</v>
      </c>
      <c r="G420" s="97"/>
      <c r="H420" s="40" t="s">
        <v>2842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2843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207947.17999999996</v>
      </c>
      <c r="W420" s="77">
        <f t="shared" ref="W420" si="57">+V420-U420</f>
        <v>207947.17999999996</v>
      </c>
      <c r="X420" s="77">
        <f t="shared" ref="X420" si="58">P420-V420</f>
        <v>861496.46</v>
      </c>
      <c r="Y420" s="104"/>
      <c r="AB420" s="67">
        <f t="shared" ref="AB420" si="59">IF((DATEDIF(I420,AB$4,"m"))&gt;=36,36,(DATEDIF(I420,AB$4,"m")))</f>
        <v>7</v>
      </c>
    </row>
    <row r="421" spans="1:28" s="103" customFormat="1" ht="14.25" customHeight="1" x14ac:dyDescent="0.25">
      <c r="A421" s="97"/>
      <c r="B421" s="97"/>
      <c r="C421" s="97"/>
      <c r="D421" s="7" t="s">
        <v>2826</v>
      </c>
      <c r="E421" s="97" t="s">
        <v>29</v>
      </c>
      <c r="F421" s="97" t="s">
        <v>2836</v>
      </c>
      <c r="G421" s="97" t="s">
        <v>2827</v>
      </c>
      <c r="H421" s="40" t="s">
        <v>2835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2837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10156.769583333333</v>
      </c>
      <c r="W421" s="77">
        <f t="shared" ref="W421:W429" si="62">+V421-U421</f>
        <v>10156.769583333333</v>
      </c>
      <c r="X421" s="77">
        <f t="shared" ref="X421:X429" si="63">P421-V421</f>
        <v>42079.045416666668</v>
      </c>
      <c r="Y421" s="104"/>
      <c r="AB421" s="67">
        <f t="shared" ref="AB421:AB429" si="64">IF((DATEDIF(I421,AB$4,"m"))&gt;=36,36,(DATEDIF(I421,AB$4,"m")))</f>
        <v>7</v>
      </c>
    </row>
    <row r="422" spans="1:28" s="103" customFormat="1" ht="14.25" customHeight="1" x14ac:dyDescent="0.25">
      <c r="A422" s="97"/>
      <c r="B422" s="97"/>
      <c r="C422" s="97"/>
      <c r="D422" s="7" t="s">
        <v>2826</v>
      </c>
      <c r="E422" s="97" t="s">
        <v>29</v>
      </c>
      <c r="F422" s="97" t="s">
        <v>2836</v>
      </c>
      <c r="G422" s="97" t="s">
        <v>2828</v>
      </c>
      <c r="H422" s="40" t="s">
        <v>2835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2837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10156.769583333333</v>
      </c>
      <c r="W422" s="77">
        <f t="shared" si="62"/>
        <v>10156.769583333333</v>
      </c>
      <c r="X422" s="77">
        <f t="shared" si="63"/>
        <v>42079.045416666668</v>
      </c>
      <c r="Y422" s="104"/>
      <c r="AB422" s="67">
        <f t="shared" si="64"/>
        <v>7</v>
      </c>
    </row>
    <row r="423" spans="1:28" s="103" customFormat="1" ht="14.25" customHeight="1" x14ac:dyDescent="0.25">
      <c r="A423" s="97"/>
      <c r="B423" s="97"/>
      <c r="C423" s="97"/>
      <c r="D423" s="7" t="s">
        <v>2826</v>
      </c>
      <c r="E423" s="97" t="s">
        <v>29</v>
      </c>
      <c r="F423" s="97" t="s">
        <v>2836</v>
      </c>
      <c r="G423" s="97" t="s">
        <v>2829</v>
      </c>
      <c r="H423" s="40" t="s">
        <v>2835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2837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10156.769583333333</v>
      </c>
      <c r="W423" s="77">
        <f t="shared" si="62"/>
        <v>10156.769583333333</v>
      </c>
      <c r="X423" s="77">
        <f t="shared" si="63"/>
        <v>42079.045416666668</v>
      </c>
      <c r="Y423" s="104"/>
      <c r="AB423" s="67">
        <f t="shared" si="64"/>
        <v>7</v>
      </c>
    </row>
    <row r="424" spans="1:28" s="103" customFormat="1" ht="14.25" customHeight="1" x14ac:dyDescent="0.25">
      <c r="A424" s="97"/>
      <c r="B424" s="97"/>
      <c r="C424" s="97"/>
      <c r="D424" s="7" t="s">
        <v>2826</v>
      </c>
      <c r="E424" s="97" t="s">
        <v>29</v>
      </c>
      <c r="F424" s="97" t="s">
        <v>2836</v>
      </c>
      <c r="G424" s="97" t="s">
        <v>2830</v>
      </c>
      <c r="H424" s="40" t="s">
        <v>2835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2837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10156.769583333333</v>
      </c>
      <c r="W424" s="77">
        <f t="shared" si="62"/>
        <v>10156.769583333333</v>
      </c>
      <c r="X424" s="77">
        <f t="shared" si="63"/>
        <v>42079.045416666668</v>
      </c>
      <c r="Y424" s="104"/>
      <c r="AB424" s="67">
        <f t="shared" si="64"/>
        <v>7</v>
      </c>
    </row>
    <row r="425" spans="1:28" s="103" customFormat="1" ht="14.25" customHeight="1" x14ac:dyDescent="0.25">
      <c r="A425" s="97"/>
      <c r="B425" s="97"/>
      <c r="C425" s="97"/>
      <c r="D425" s="7" t="s">
        <v>2826</v>
      </c>
      <c r="E425" s="97" t="s">
        <v>29</v>
      </c>
      <c r="F425" s="97" t="s">
        <v>2836</v>
      </c>
      <c r="G425" s="97" t="s">
        <v>2831</v>
      </c>
      <c r="H425" s="40" t="s">
        <v>2835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2837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10156.769583333333</v>
      </c>
      <c r="W425" s="77">
        <f t="shared" si="62"/>
        <v>10156.769583333333</v>
      </c>
      <c r="X425" s="77">
        <f t="shared" si="63"/>
        <v>42079.045416666668</v>
      </c>
      <c r="Y425" s="104"/>
      <c r="AB425" s="67">
        <f t="shared" si="64"/>
        <v>7</v>
      </c>
    </row>
    <row r="426" spans="1:28" s="103" customFormat="1" ht="14.25" customHeight="1" x14ac:dyDescent="0.25">
      <c r="A426" s="97"/>
      <c r="B426" s="97"/>
      <c r="C426" s="97"/>
      <c r="D426" s="7" t="s">
        <v>2826</v>
      </c>
      <c r="E426" s="97" t="s">
        <v>29</v>
      </c>
      <c r="F426" s="97" t="s">
        <v>2836</v>
      </c>
      <c r="G426" s="97" t="s">
        <v>2832</v>
      </c>
      <c r="H426" s="40" t="s">
        <v>2835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2837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10156.769583333333</v>
      </c>
      <c r="W426" s="77">
        <f t="shared" si="62"/>
        <v>10156.769583333333</v>
      </c>
      <c r="X426" s="77">
        <f t="shared" si="63"/>
        <v>42079.045416666668</v>
      </c>
      <c r="Y426" s="104"/>
      <c r="AB426" s="67">
        <f t="shared" si="64"/>
        <v>7</v>
      </c>
    </row>
    <row r="427" spans="1:28" s="103" customFormat="1" ht="14.25" customHeight="1" x14ac:dyDescent="0.25">
      <c r="A427" s="97"/>
      <c r="B427" s="97"/>
      <c r="C427" s="97"/>
      <c r="D427" s="7" t="s">
        <v>2826</v>
      </c>
      <c r="E427" s="97" t="s">
        <v>29</v>
      </c>
      <c r="F427" s="97" t="s">
        <v>2836</v>
      </c>
      <c r="G427" s="97" t="s">
        <v>2833</v>
      </c>
      <c r="H427" s="40" t="s">
        <v>2835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2837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10156.769583333333</v>
      </c>
      <c r="W427" s="77">
        <f t="shared" si="62"/>
        <v>10156.769583333333</v>
      </c>
      <c r="X427" s="77">
        <f t="shared" si="63"/>
        <v>42079.045416666668</v>
      </c>
      <c r="Y427" s="104"/>
      <c r="AB427" s="67">
        <f t="shared" si="64"/>
        <v>7</v>
      </c>
    </row>
    <row r="428" spans="1:28" s="103" customFormat="1" ht="14.25" customHeight="1" x14ac:dyDescent="0.25">
      <c r="A428" s="97"/>
      <c r="B428" s="97"/>
      <c r="C428" s="97"/>
      <c r="D428" s="7" t="s">
        <v>2826</v>
      </c>
      <c r="E428" s="97" t="s">
        <v>29</v>
      </c>
      <c r="F428" s="97" t="s">
        <v>2836</v>
      </c>
      <c r="G428" s="97" t="s">
        <v>2834</v>
      </c>
      <c r="H428" s="40" t="s">
        <v>2835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2837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10156.769583333333</v>
      </c>
      <c r="W428" s="77">
        <f t="shared" si="62"/>
        <v>10156.769583333333</v>
      </c>
      <c r="X428" s="77">
        <f t="shared" si="63"/>
        <v>42079.045416666668</v>
      </c>
      <c r="Y428" s="104"/>
      <c r="AB428" s="67">
        <f t="shared" si="64"/>
        <v>7</v>
      </c>
    </row>
    <row r="429" spans="1:28" s="103" customFormat="1" ht="14.25" customHeight="1" x14ac:dyDescent="0.25">
      <c r="A429" s="97"/>
      <c r="B429" s="97"/>
      <c r="C429" s="97"/>
      <c r="D429" s="7" t="s">
        <v>2845</v>
      </c>
      <c r="E429" s="97" t="s">
        <v>714</v>
      </c>
      <c r="F429" s="97" t="s">
        <v>812</v>
      </c>
      <c r="G429" s="97" t="s">
        <v>2847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2846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2163</v>
      </c>
      <c r="W429" s="77">
        <f t="shared" si="62"/>
        <v>2163</v>
      </c>
      <c r="X429" s="77">
        <f t="shared" si="63"/>
        <v>8962</v>
      </c>
      <c r="Y429" s="104"/>
      <c r="AB429" s="67">
        <f t="shared" si="64"/>
        <v>7</v>
      </c>
    </row>
    <row r="430" spans="1:28" s="111" customFormat="1" x14ac:dyDescent="0.25">
      <c r="A430" s="98"/>
      <c r="B430" s="98"/>
      <c r="C430" s="98"/>
      <c r="D430" s="597" t="s">
        <v>2838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291364.33666666667</v>
      </c>
      <c r="W430" s="109">
        <f t="shared" si="65"/>
        <v>291364.33666666667</v>
      </c>
      <c r="X430" s="109">
        <f t="shared" si="65"/>
        <v>1207090.8233333332</v>
      </c>
      <c r="AB430" s="137"/>
    </row>
    <row r="431" spans="1:28" s="111" customFormat="1" x14ac:dyDescent="0.25">
      <c r="A431" s="98"/>
      <c r="B431" s="98"/>
      <c r="C431" s="98"/>
      <c r="D431" s="597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2878</v>
      </c>
      <c r="E432" s="97" t="s">
        <v>2877</v>
      </c>
      <c r="F432" s="97"/>
      <c r="G432" s="97" t="s">
        <v>2879</v>
      </c>
      <c r="H432" s="40" t="s">
        <v>2876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2875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12466.5</v>
      </c>
      <c r="W432" s="77">
        <f>+V432-U432</f>
        <v>12466.5</v>
      </c>
      <c r="X432" s="77">
        <f>P432-V432</f>
        <v>62333.5</v>
      </c>
      <c r="Y432" s="104"/>
      <c r="AB432" s="67">
        <f t="shared" ref="AB432" si="66">IF((DATEDIF(I432,AB$4,"m"))&gt;=36,36,(DATEDIF(I432,AB$4,"m")))</f>
        <v>6</v>
      </c>
    </row>
    <row r="433" spans="1:28" s="111" customFormat="1" x14ac:dyDescent="0.25">
      <c r="A433" s="98"/>
      <c r="B433" s="98"/>
      <c r="C433" s="98"/>
      <c r="D433" s="597" t="s">
        <v>2880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12466.5</v>
      </c>
      <c r="W433" s="109">
        <f t="shared" si="67"/>
        <v>12466.5</v>
      </c>
      <c r="X433" s="109">
        <f t="shared" si="67"/>
        <v>62333.5</v>
      </c>
      <c r="AB433" s="137"/>
    </row>
    <row r="434" spans="1:28" s="111" customFormat="1" x14ac:dyDescent="0.25">
      <c r="A434" s="98"/>
      <c r="B434" s="98"/>
      <c r="C434" s="98"/>
      <c r="D434" s="597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7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2881</v>
      </c>
      <c r="E436" s="97" t="s">
        <v>84</v>
      </c>
      <c r="F436" s="97" t="s">
        <v>2882</v>
      </c>
      <c r="G436" s="97" t="s">
        <v>2883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2884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11288.572222222221</v>
      </c>
      <c r="W436" s="77">
        <f>+V436-U436</f>
        <v>11288.572222222221</v>
      </c>
      <c r="X436" s="77">
        <f>P436-V436</f>
        <v>69990.147777777776</v>
      </c>
      <c r="Y436" s="104"/>
      <c r="AB436" s="67">
        <f t="shared" ref="AB436" si="68">IF((DATEDIF(I436,AB$4,"m"))&gt;=36,36,(DATEDIF(I436,AB$4,"m")))</f>
        <v>5</v>
      </c>
    </row>
    <row r="437" spans="1:28" s="111" customFormat="1" x14ac:dyDescent="0.25">
      <c r="A437" s="98"/>
      <c r="B437" s="98"/>
      <c r="C437" s="98"/>
      <c r="D437" s="597" t="s">
        <v>2885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11288.572222222221</v>
      </c>
      <c r="W437" s="109">
        <f t="shared" si="69"/>
        <v>11288.572222222221</v>
      </c>
      <c r="X437" s="109">
        <f t="shared" si="69"/>
        <v>69990.147777777776</v>
      </c>
      <c r="AB437" s="137"/>
    </row>
    <row r="438" spans="1:28" s="111" customFormat="1" x14ac:dyDescent="0.25">
      <c r="A438" s="98"/>
      <c r="B438" s="98"/>
      <c r="C438" s="98"/>
      <c r="D438" s="597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2845</v>
      </c>
      <c r="E440" s="97" t="s">
        <v>29</v>
      </c>
      <c r="F440" s="97" t="s">
        <v>812</v>
      </c>
      <c r="G440" s="97" t="s">
        <v>2892</v>
      </c>
      <c r="H440" s="40" t="s">
        <v>140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57</v>
      </c>
      <c r="N440" s="97" t="s">
        <v>2893</v>
      </c>
      <c r="O440" s="97" t="s">
        <v>797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0</v>
      </c>
      <c r="V440" s="77">
        <f>T440*AB440</f>
        <v>1111</v>
      </c>
      <c r="W440" s="77">
        <f t="shared" ref="W440" si="70">+V440-U440</f>
        <v>1111</v>
      </c>
      <c r="X440" s="77">
        <f t="shared" ref="X440" si="71">P440-V440</f>
        <v>8889</v>
      </c>
      <c r="Y440" s="104"/>
      <c r="AB440" s="67">
        <f t="shared" ref="AB440" si="72">IF((DATEDIF(I440,AB$4,"m"))&gt;=36,36,(DATEDIF(I440,AB$4,"m")))</f>
        <v>4</v>
      </c>
    </row>
    <row r="441" spans="1:28" s="103" customFormat="1" ht="14.25" customHeight="1" x14ac:dyDescent="0.25">
      <c r="A441" s="97"/>
      <c r="B441" s="97"/>
      <c r="C441" s="97"/>
      <c r="D441" s="7" t="s">
        <v>2845</v>
      </c>
      <c r="E441" s="97" t="s">
        <v>29</v>
      </c>
      <c r="F441" s="97" t="s">
        <v>2894</v>
      </c>
      <c r="G441" s="97" t="s">
        <v>2895</v>
      </c>
      <c r="H441" s="40" t="s">
        <v>2835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57</v>
      </c>
      <c r="N441" s="97" t="s">
        <v>2896</v>
      </c>
      <c r="O441" s="97" t="s">
        <v>797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0</v>
      </c>
      <c r="V441" s="77">
        <f>T441*AB441</f>
        <v>2601.1333333333337</v>
      </c>
      <c r="W441" s="77">
        <f t="shared" ref="W441" si="73">+V441-U441</f>
        <v>2601.1333333333337</v>
      </c>
      <c r="X441" s="77">
        <f t="shared" ref="X441" si="74">P441-V441</f>
        <v>20810.066666666666</v>
      </c>
      <c r="Y441" s="104"/>
      <c r="AB441" s="67">
        <f t="shared" ref="AB441" si="75">IF((DATEDIF(I441,AB$4,"m"))&gt;=36,36,(DATEDIF(I441,AB$4,"m")))</f>
        <v>4</v>
      </c>
    </row>
    <row r="442" spans="1:28" s="111" customFormat="1" x14ac:dyDescent="0.25">
      <c r="A442" s="98"/>
      <c r="B442" s="98"/>
      <c r="C442" s="98"/>
      <c r="D442" s="597" t="s">
        <v>2891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f t="shared" ref="U442:X442" si="76">SUM(U440:U441)</f>
        <v>0</v>
      </c>
      <c r="V442" s="109">
        <f t="shared" si="76"/>
        <v>3712.1333333333337</v>
      </c>
      <c r="W442" s="109">
        <f t="shared" si="76"/>
        <v>3712.1333333333337</v>
      </c>
      <c r="X442" s="109">
        <f t="shared" si="76"/>
        <v>29699.066666666666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33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52"/>
      <c r="J445" s="63"/>
      <c r="K445" s="63"/>
      <c r="L445" s="64"/>
      <c r="M445" s="40"/>
      <c r="N445" s="40"/>
      <c r="O445" s="40"/>
      <c r="P445" s="28"/>
      <c r="S445" s="52"/>
      <c r="T445" s="28"/>
      <c r="U445" s="28"/>
      <c r="V445" s="28"/>
      <c r="AB445" s="67"/>
    </row>
    <row r="446" spans="1:28" s="111" customFormat="1" x14ac:dyDescent="0.25">
      <c r="A446" s="597" t="s">
        <v>2758</v>
      </c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598">
        <f>+P418+P384+P381+P430+P433+P437+P442</f>
        <v>2882793.42</v>
      </c>
      <c r="Q446" s="623"/>
      <c r="R446" s="623"/>
      <c r="S446" s="103"/>
      <c r="T446" s="598">
        <f>+T381+T384+T418+T430+T433+T437+T442</f>
        <v>80076.261666666687</v>
      </c>
      <c r="U446" s="598">
        <f>+U381+U384+U418+U430+U433+U437+U442</f>
        <v>0</v>
      </c>
      <c r="V446" s="598">
        <f>+V381+V384+V418+V430+V433+V437+V442</f>
        <v>592346.58555555553</v>
      </c>
      <c r="W446" s="598">
        <f>+W381+W384+W418+W430+W433+W437+W442</f>
        <v>592346.58555555553</v>
      </c>
      <c r="X446" s="598">
        <f>+X381+X384+X418+X430+X433+X437+X442</f>
        <v>2290446.8344444446</v>
      </c>
      <c r="Z446" s="13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2759</v>
      </c>
      <c r="B448" s="57"/>
      <c r="C448" s="57"/>
      <c r="D448" s="57"/>
      <c r="E448" s="57"/>
      <c r="F448" s="57"/>
      <c r="G448" s="57"/>
      <c r="H448" s="57"/>
      <c r="I448" s="73"/>
      <c r="J448" s="58"/>
      <c r="K448" s="58"/>
      <c r="L448" s="59"/>
      <c r="M448" s="57"/>
      <c r="N448" s="57"/>
      <c r="O448" s="57"/>
      <c r="P448" s="86">
        <f>+P378+P446</f>
        <v>19854836.517990001</v>
      </c>
      <c r="Q448" s="28"/>
      <c r="R448" s="28"/>
      <c r="S448" s="28"/>
      <c r="T448" s="86">
        <f>+T378+T446</f>
        <v>234573.4883275</v>
      </c>
      <c r="U448" s="86">
        <v>15697845.749063609</v>
      </c>
      <c r="V448" s="86">
        <f>+V378+V446</f>
        <v>17788936.804867778</v>
      </c>
      <c r="W448" s="86">
        <f>+W378+W446</f>
        <v>2091091.0558041662</v>
      </c>
      <c r="X448" s="86">
        <f>+X378+X446</f>
        <v>3074968.7320111115</v>
      </c>
    </row>
    <row r="449" spans="1:24" ht="16.5" thickTop="1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48"/>
      <c r="S451" s="33"/>
      <c r="T451" s="454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48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548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48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48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48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29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29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/>
      <c r="B589" s="116"/>
      <c r="C589" s="116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6"/>
      <c r="B592" s="116"/>
      <c r="C592" s="116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6"/>
      <c r="B593" s="116"/>
      <c r="C593" s="116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6"/>
      <c r="B594" s="116"/>
      <c r="C594" s="116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6" t="s">
        <v>388</v>
      </c>
      <c r="B595" s="116"/>
      <c r="C595" s="116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L79" activePane="bottomRight" state="frozen"/>
      <selection sqref="A1:T2"/>
      <selection pane="topRight" sqref="A1:T2"/>
      <selection pane="bottomLeft" sqref="A1:T2"/>
      <selection pane="bottomRight" activeCell="T94" sqref="T94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80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2510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30 de Noviembre del 2015)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53"/>
      <c r="H5" s="420"/>
      <c r="I5" s="420"/>
      <c r="J5" s="420"/>
      <c r="K5" s="420"/>
      <c r="L5" s="4"/>
      <c r="M5" s="420"/>
      <c r="N5" s="420"/>
      <c r="O5" s="420"/>
      <c r="P5" s="453"/>
      <c r="Q5" s="453"/>
      <c r="R5" s="420"/>
      <c r="S5" s="420"/>
      <c r="T5" s="420"/>
      <c r="U5" s="420"/>
      <c r="W5" s="121">
        <f>'Equipos de Producción'!$W$4</f>
        <v>42338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819</v>
      </c>
      <c r="I6" s="670"/>
      <c r="J6" s="671"/>
      <c r="K6" s="4"/>
      <c r="L6" s="4"/>
      <c r="M6" s="4"/>
      <c r="N6" s="454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55" t="s">
        <v>4</v>
      </c>
      <c r="B7" s="455" t="s">
        <v>7</v>
      </c>
      <c r="C7" s="455" t="s">
        <v>8</v>
      </c>
      <c r="D7" s="455" t="s">
        <v>9</v>
      </c>
      <c r="E7" s="455" t="s">
        <v>10</v>
      </c>
      <c r="F7" s="455" t="s">
        <v>11</v>
      </c>
      <c r="G7" s="455" t="s">
        <v>12</v>
      </c>
      <c r="H7" s="456" t="s">
        <v>13</v>
      </c>
      <c r="I7" s="456" t="s">
        <v>14</v>
      </c>
      <c r="J7" s="457" t="s">
        <v>15</v>
      </c>
      <c r="K7" s="455" t="s">
        <v>16</v>
      </c>
      <c r="L7" s="458" t="s">
        <v>17</v>
      </c>
      <c r="M7" s="455" t="s">
        <v>18</v>
      </c>
      <c r="N7" s="459" t="s">
        <v>19</v>
      </c>
      <c r="O7" s="455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Octubre 2015</v>
      </c>
      <c r="S7" s="10" t="str">
        <f>+'Equipos de Producción'!$T$6</f>
        <v>Deprec. a Registrar Octubre 2015</v>
      </c>
      <c r="T7" s="129" t="s">
        <v>24</v>
      </c>
      <c r="U7" s="455" t="s">
        <v>25</v>
      </c>
      <c r="W7" s="387" t="s">
        <v>26</v>
      </c>
    </row>
    <row r="8" spans="1:23" s="447" customFormat="1" ht="15.75" x14ac:dyDescent="0.25">
      <c r="B8" s="460" t="s">
        <v>2511</v>
      </c>
      <c r="F8" s="447" t="s">
        <v>2512</v>
      </c>
      <c r="G8" s="132" t="str">
        <f t="shared" ref="G8:G64" si="0">CONCATENATE(H8,"/",I8,"/",J8,)</f>
        <v>20/5/2008</v>
      </c>
      <c r="H8" s="447">
        <v>20</v>
      </c>
      <c r="I8" s="447">
        <v>5</v>
      </c>
      <c r="J8" s="447">
        <v>2008</v>
      </c>
      <c r="K8" s="447" t="s">
        <v>1818</v>
      </c>
      <c r="L8" s="83">
        <v>18</v>
      </c>
      <c r="M8" s="447" t="s">
        <v>2513</v>
      </c>
      <c r="N8" s="461">
        <v>9025.9599999999991</v>
      </c>
      <c r="O8" s="447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62">
        <f>N8-R8</f>
        <v>1.000000000001819</v>
      </c>
      <c r="U8" s="447">
        <v>11034</v>
      </c>
      <c r="W8" s="44">
        <f>IF((DATEDIF(G8,W$5,"m"))&gt;=60,60,(DATEDIF(G8,W$5,"m")))</f>
        <v>60</v>
      </c>
    </row>
    <row r="9" spans="1:23" s="447" customFormat="1" ht="15.75" x14ac:dyDescent="0.25">
      <c r="B9" s="460" t="s">
        <v>2511</v>
      </c>
      <c r="F9" s="447" t="s">
        <v>2512</v>
      </c>
      <c r="G9" s="132" t="str">
        <f t="shared" si="0"/>
        <v>20/5/2008</v>
      </c>
      <c r="H9" s="447">
        <v>20</v>
      </c>
      <c r="I9" s="447">
        <v>5</v>
      </c>
      <c r="J9" s="447">
        <v>2008</v>
      </c>
      <c r="K9" s="447" t="s">
        <v>1818</v>
      </c>
      <c r="L9" s="83">
        <v>18</v>
      </c>
      <c r="M9" s="447" t="s">
        <v>2513</v>
      </c>
      <c r="N9" s="461">
        <v>9025.9599999999991</v>
      </c>
      <c r="O9" s="447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62">
        <f t="shared" ref="T9:T51" si="1">N9-R9</f>
        <v>1.000000000001819</v>
      </c>
      <c r="U9" s="447">
        <v>11034</v>
      </c>
      <c r="W9" s="44">
        <f t="shared" ref="W9:W51" si="2">IF((DATEDIF(G9,W$5,"m"))&gt;=60,60,(DATEDIF(G9,W$5,"m")))</f>
        <v>60</v>
      </c>
    </row>
    <row r="10" spans="1:23" s="447" customFormat="1" ht="15.75" x14ac:dyDescent="0.25">
      <c r="B10" s="460" t="s">
        <v>2511</v>
      </c>
      <c r="F10" s="447" t="s">
        <v>2512</v>
      </c>
      <c r="G10" s="132" t="str">
        <f t="shared" si="0"/>
        <v>20/5/2008</v>
      </c>
      <c r="H10" s="447">
        <v>20</v>
      </c>
      <c r="I10" s="447">
        <v>5</v>
      </c>
      <c r="J10" s="447">
        <v>2008</v>
      </c>
      <c r="K10" s="447" t="s">
        <v>1818</v>
      </c>
      <c r="L10" s="83">
        <v>18</v>
      </c>
      <c r="M10" s="447" t="s">
        <v>2513</v>
      </c>
      <c r="N10" s="461">
        <v>9025.9599999999991</v>
      </c>
      <c r="O10" s="447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62">
        <f t="shared" si="1"/>
        <v>1.000000000001819</v>
      </c>
      <c r="U10" s="447">
        <v>11034</v>
      </c>
      <c r="W10" s="44">
        <f t="shared" si="2"/>
        <v>60</v>
      </c>
    </row>
    <row r="11" spans="1:23" s="447" customFormat="1" ht="15.75" x14ac:dyDescent="0.25">
      <c r="B11" s="460" t="s">
        <v>2511</v>
      </c>
      <c r="F11" s="447" t="s">
        <v>2512</v>
      </c>
      <c r="G11" s="132" t="str">
        <f t="shared" si="0"/>
        <v>20/5/2008</v>
      </c>
      <c r="H11" s="447">
        <v>20</v>
      </c>
      <c r="I11" s="447">
        <v>5</v>
      </c>
      <c r="J11" s="447">
        <v>2008</v>
      </c>
      <c r="K11" s="447" t="s">
        <v>1818</v>
      </c>
      <c r="L11" s="83">
        <v>18</v>
      </c>
      <c r="M11" s="447" t="s">
        <v>2513</v>
      </c>
      <c r="N11" s="461">
        <v>9025.9599999999991</v>
      </c>
      <c r="O11" s="447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62">
        <f t="shared" si="1"/>
        <v>1.000000000001819</v>
      </c>
      <c r="U11" s="447">
        <v>11034</v>
      </c>
      <c r="W11" s="44">
        <f t="shared" si="2"/>
        <v>60</v>
      </c>
    </row>
    <row r="12" spans="1:23" s="447" customFormat="1" ht="15.75" x14ac:dyDescent="0.25">
      <c r="B12" s="460" t="s">
        <v>2514</v>
      </c>
      <c r="D12" s="447" t="s">
        <v>2515</v>
      </c>
      <c r="F12" s="447" t="s">
        <v>2512</v>
      </c>
      <c r="G12" s="132" t="str">
        <f t="shared" si="0"/>
        <v>20/5/2008</v>
      </c>
      <c r="H12" s="447">
        <v>20</v>
      </c>
      <c r="I12" s="447">
        <v>5</v>
      </c>
      <c r="J12" s="447">
        <v>2008</v>
      </c>
      <c r="K12" s="447" t="s">
        <v>1818</v>
      </c>
      <c r="L12" s="83">
        <v>18</v>
      </c>
      <c r="M12" s="447" t="s">
        <v>2513</v>
      </c>
      <c r="N12" s="461">
        <v>7700</v>
      </c>
      <c r="O12" s="447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62">
        <f t="shared" si="1"/>
        <v>1</v>
      </c>
      <c r="U12" s="447">
        <v>11034</v>
      </c>
      <c r="W12" s="44">
        <f t="shared" si="2"/>
        <v>60</v>
      </c>
    </row>
    <row r="13" spans="1:23" s="447" customFormat="1" ht="15.75" x14ac:dyDescent="0.25">
      <c r="B13" s="460" t="s">
        <v>2514</v>
      </c>
      <c r="D13" s="447" t="s">
        <v>2515</v>
      </c>
      <c r="F13" s="447" t="s">
        <v>2512</v>
      </c>
      <c r="G13" s="132" t="str">
        <f t="shared" si="0"/>
        <v>20/5/2008</v>
      </c>
      <c r="H13" s="447">
        <v>20</v>
      </c>
      <c r="I13" s="447">
        <v>5</v>
      </c>
      <c r="J13" s="447">
        <v>2008</v>
      </c>
      <c r="K13" s="447" t="s">
        <v>1818</v>
      </c>
      <c r="L13" s="83">
        <v>18</v>
      </c>
      <c r="M13" s="447" t="s">
        <v>2513</v>
      </c>
      <c r="N13" s="461">
        <v>7700</v>
      </c>
      <c r="O13" s="447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62">
        <f t="shared" si="1"/>
        <v>1</v>
      </c>
      <c r="U13" s="447">
        <v>11034</v>
      </c>
      <c r="W13" s="44">
        <f t="shared" si="2"/>
        <v>60</v>
      </c>
    </row>
    <row r="14" spans="1:23" s="447" customFormat="1" ht="15.75" x14ac:dyDescent="0.25">
      <c r="B14" s="460" t="s">
        <v>2514</v>
      </c>
      <c r="D14" s="447" t="s">
        <v>2515</v>
      </c>
      <c r="F14" s="447" t="s">
        <v>2512</v>
      </c>
      <c r="G14" s="132" t="str">
        <f t="shared" si="0"/>
        <v>20/5/2008</v>
      </c>
      <c r="H14" s="447">
        <v>20</v>
      </c>
      <c r="I14" s="447">
        <v>5</v>
      </c>
      <c r="J14" s="447">
        <v>2008</v>
      </c>
      <c r="K14" s="447" t="s">
        <v>1818</v>
      </c>
      <c r="L14" s="83">
        <v>18</v>
      </c>
      <c r="M14" s="447" t="s">
        <v>2513</v>
      </c>
      <c r="N14" s="461">
        <v>7700</v>
      </c>
      <c r="O14" s="447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62">
        <f t="shared" si="1"/>
        <v>1</v>
      </c>
      <c r="U14" s="447">
        <v>11034</v>
      </c>
      <c r="W14" s="44">
        <f t="shared" si="2"/>
        <v>60</v>
      </c>
    </row>
    <row r="15" spans="1:23" s="447" customFormat="1" ht="15.75" x14ac:dyDescent="0.25">
      <c r="B15" s="460" t="s">
        <v>2516</v>
      </c>
      <c r="D15" s="447" t="s">
        <v>2517</v>
      </c>
      <c r="F15" s="447" t="s">
        <v>2512</v>
      </c>
      <c r="G15" s="132" t="str">
        <f t="shared" si="0"/>
        <v>20/5/2008</v>
      </c>
      <c r="H15" s="447">
        <v>20</v>
      </c>
      <c r="I15" s="447">
        <v>5</v>
      </c>
      <c r="J15" s="447">
        <v>2008</v>
      </c>
      <c r="K15" s="447" t="s">
        <v>1818</v>
      </c>
      <c r="L15" s="83">
        <v>18</v>
      </c>
      <c r="M15" s="447" t="s">
        <v>2513</v>
      </c>
      <c r="N15" s="461">
        <v>7528.4</v>
      </c>
      <c r="O15" s="447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62">
        <f t="shared" si="1"/>
        <v>1</v>
      </c>
      <c r="U15" s="447">
        <v>11034</v>
      </c>
      <c r="W15" s="44">
        <f t="shared" si="2"/>
        <v>60</v>
      </c>
    </row>
    <row r="16" spans="1:23" s="447" customFormat="1" ht="15.75" x14ac:dyDescent="0.25">
      <c r="B16" s="460" t="s">
        <v>2516</v>
      </c>
      <c r="D16" s="447" t="s">
        <v>2517</v>
      </c>
      <c r="F16" s="447" t="s">
        <v>2512</v>
      </c>
      <c r="G16" s="132" t="str">
        <f t="shared" si="0"/>
        <v>20/5/2008</v>
      </c>
      <c r="H16" s="447">
        <v>20</v>
      </c>
      <c r="I16" s="447">
        <v>5</v>
      </c>
      <c r="J16" s="447">
        <v>2008</v>
      </c>
      <c r="K16" s="447" t="s">
        <v>1818</v>
      </c>
      <c r="L16" s="83">
        <v>18</v>
      </c>
      <c r="M16" s="447" t="s">
        <v>2513</v>
      </c>
      <c r="N16" s="461">
        <v>7528.4</v>
      </c>
      <c r="O16" s="447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62">
        <f t="shared" si="1"/>
        <v>1</v>
      </c>
      <c r="U16" s="447">
        <v>11034</v>
      </c>
      <c r="W16" s="44">
        <f t="shared" si="2"/>
        <v>60</v>
      </c>
    </row>
    <row r="17" spans="2:23" s="447" customFormat="1" ht="15.75" x14ac:dyDescent="0.25">
      <c r="B17" s="460" t="s">
        <v>2516</v>
      </c>
      <c r="D17" s="447" t="s">
        <v>2517</v>
      </c>
      <c r="F17" s="447" t="s">
        <v>2512</v>
      </c>
      <c r="G17" s="132" t="str">
        <f t="shared" si="0"/>
        <v>20/5/2008</v>
      </c>
      <c r="H17" s="447">
        <v>20</v>
      </c>
      <c r="I17" s="447">
        <v>5</v>
      </c>
      <c r="J17" s="447">
        <v>2008</v>
      </c>
      <c r="K17" s="447" t="s">
        <v>1818</v>
      </c>
      <c r="L17" s="83">
        <v>18</v>
      </c>
      <c r="M17" s="447" t="s">
        <v>2513</v>
      </c>
      <c r="N17" s="461">
        <v>7528.4</v>
      </c>
      <c r="O17" s="447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62">
        <f t="shared" si="1"/>
        <v>1</v>
      </c>
      <c r="U17" s="447">
        <v>11034</v>
      </c>
      <c r="W17" s="44">
        <f t="shared" si="2"/>
        <v>60</v>
      </c>
    </row>
    <row r="18" spans="2:23" s="447" customFormat="1" ht="15.75" x14ac:dyDescent="0.25">
      <c r="B18" s="460" t="s">
        <v>2518</v>
      </c>
      <c r="C18" s="447" t="s">
        <v>2519</v>
      </c>
      <c r="D18" s="447">
        <v>1459</v>
      </c>
      <c r="F18" s="447" t="s">
        <v>2512</v>
      </c>
      <c r="G18" s="132" t="str">
        <f t="shared" si="0"/>
        <v>20/5/2008</v>
      </c>
      <c r="H18" s="447">
        <v>20</v>
      </c>
      <c r="I18" s="447">
        <v>5</v>
      </c>
      <c r="J18" s="447">
        <v>2008</v>
      </c>
      <c r="K18" s="447" t="s">
        <v>1818</v>
      </c>
      <c r="L18" s="83">
        <v>18</v>
      </c>
      <c r="M18" s="447" t="s">
        <v>2513</v>
      </c>
      <c r="N18" s="461">
        <v>5220</v>
      </c>
      <c r="O18" s="447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62">
        <f t="shared" si="1"/>
        <v>1</v>
      </c>
      <c r="U18" s="447">
        <v>11034</v>
      </c>
      <c r="W18" s="44">
        <f t="shared" si="2"/>
        <v>60</v>
      </c>
    </row>
    <row r="19" spans="2:23" s="447" customFormat="1" ht="15.75" x14ac:dyDescent="0.25">
      <c r="B19" s="460" t="s">
        <v>2518</v>
      </c>
      <c r="C19" s="447" t="s">
        <v>2519</v>
      </c>
      <c r="D19" s="447">
        <v>1459</v>
      </c>
      <c r="F19" s="447" t="s">
        <v>2512</v>
      </c>
      <c r="G19" s="132" t="str">
        <f t="shared" si="0"/>
        <v>20/5/2008</v>
      </c>
      <c r="H19" s="447">
        <v>20</v>
      </c>
      <c r="I19" s="447">
        <v>5</v>
      </c>
      <c r="J19" s="447">
        <v>2008</v>
      </c>
      <c r="K19" s="447" t="s">
        <v>1818</v>
      </c>
      <c r="L19" s="83">
        <v>18</v>
      </c>
      <c r="M19" s="447" t="s">
        <v>2513</v>
      </c>
      <c r="N19" s="461">
        <v>5220</v>
      </c>
      <c r="O19" s="447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62">
        <f t="shared" si="1"/>
        <v>1</v>
      </c>
      <c r="U19" s="447">
        <v>11034</v>
      </c>
      <c r="W19" s="44">
        <f t="shared" si="2"/>
        <v>60</v>
      </c>
    </row>
    <row r="20" spans="2:23" s="447" customFormat="1" ht="15.75" x14ac:dyDescent="0.25">
      <c r="B20" s="460" t="s">
        <v>2518</v>
      </c>
      <c r="C20" s="447" t="s">
        <v>2519</v>
      </c>
      <c r="D20" s="447">
        <v>1459</v>
      </c>
      <c r="F20" s="447" t="s">
        <v>2512</v>
      </c>
      <c r="G20" s="132" t="str">
        <f t="shared" si="0"/>
        <v>20/5/2008</v>
      </c>
      <c r="H20" s="447">
        <v>20</v>
      </c>
      <c r="I20" s="447">
        <v>5</v>
      </c>
      <c r="J20" s="447">
        <v>2008</v>
      </c>
      <c r="K20" s="447" t="s">
        <v>1818</v>
      </c>
      <c r="L20" s="83">
        <v>18</v>
      </c>
      <c r="M20" s="447" t="s">
        <v>2513</v>
      </c>
      <c r="N20" s="461">
        <v>5220</v>
      </c>
      <c r="O20" s="447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62">
        <f t="shared" si="1"/>
        <v>1</v>
      </c>
      <c r="U20" s="447">
        <v>11034</v>
      </c>
      <c r="W20" s="44">
        <f t="shared" si="2"/>
        <v>60</v>
      </c>
    </row>
    <row r="21" spans="2:23" s="447" customFormat="1" ht="15.75" x14ac:dyDescent="0.25">
      <c r="B21" s="460" t="s">
        <v>2520</v>
      </c>
      <c r="D21" s="447" t="s">
        <v>2521</v>
      </c>
      <c r="F21" s="447" t="s">
        <v>2512</v>
      </c>
      <c r="G21" s="132" t="str">
        <f t="shared" si="0"/>
        <v>20/5/2008</v>
      </c>
      <c r="H21" s="447">
        <v>20</v>
      </c>
      <c r="I21" s="447">
        <v>5</v>
      </c>
      <c r="J21" s="447">
        <v>2008</v>
      </c>
      <c r="K21" s="447" t="s">
        <v>1818</v>
      </c>
      <c r="L21" s="83">
        <v>18</v>
      </c>
      <c r="M21" s="447" t="s">
        <v>2513</v>
      </c>
      <c r="N21" s="461">
        <v>10300.799999999999</v>
      </c>
      <c r="O21" s="447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62">
        <f t="shared" si="1"/>
        <v>1</v>
      </c>
      <c r="U21" s="447">
        <v>11034</v>
      </c>
      <c r="W21" s="44">
        <f t="shared" si="2"/>
        <v>60</v>
      </c>
    </row>
    <row r="22" spans="2:23" s="447" customFormat="1" ht="15.75" x14ac:dyDescent="0.25">
      <c r="B22" s="460" t="s">
        <v>2520</v>
      </c>
      <c r="D22" s="447" t="s">
        <v>2521</v>
      </c>
      <c r="F22" s="447" t="s">
        <v>2512</v>
      </c>
      <c r="G22" s="132" t="str">
        <f t="shared" si="0"/>
        <v>20/5/2008</v>
      </c>
      <c r="H22" s="447">
        <v>20</v>
      </c>
      <c r="I22" s="447">
        <v>5</v>
      </c>
      <c r="J22" s="447">
        <v>2008</v>
      </c>
      <c r="K22" s="447" t="s">
        <v>1818</v>
      </c>
      <c r="L22" s="83">
        <v>18</v>
      </c>
      <c r="M22" s="447" t="s">
        <v>2513</v>
      </c>
      <c r="N22" s="461">
        <v>10300.799999999999</v>
      </c>
      <c r="O22" s="447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62">
        <f t="shared" si="1"/>
        <v>1</v>
      </c>
      <c r="U22" s="447">
        <v>11034</v>
      </c>
      <c r="W22" s="44">
        <f t="shared" si="2"/>
        <v>60</v>
      </c>
    </row>
    <row r="23" spans="2:23" s="447" customFormat="1" ht="15.75" x14ac:dyDescent="0.25">
      <c r="B23" s="460" t="s">
        <v>2520</v>
      </c>
      <c r="D23" s="447" t="s">
        <v>2521</v>
      </c>
      <c r="F23" s="447" t="s">
        <v>2512</v>
      </c>
      <c r="G23" s="132" t="str">
        <f t="shared" si="0"/>
        <v>20/5/2008</v>
      </c>
      <c r="H23" s="447">
        <v>20</v>
      </c>
      <c r="I23" s="447">
        <v>5</v>
      </c>
      <c r="J23" s="447">
        <v>2008</v>
      </c>
      <c r="K23" s="447" t="s">
        <v>1818</v>
      </c>
      <c r="L23" s="83">
        <v>18</v>
      </c>
      <c r="M23" s="447" t="s">
        <v>2513</v>
      </c>
      <c r="N23" s="461">
        <v>10300.799999999999</v>
      </c>
      <c r="O23" s="447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62">
        <f t="shared" si="1"/>
        <v>1</v>
      </c>
      <c r="U23" s="447">
        <v>11034</v>
      </c>
      <c r="W23" s="44">
        <f>IF((DATEDIF(G23,W$5,"m"))&gt;=60,60,(DATEDIF(G23,W$5,"m")))</f>
        <v>60</v>
      </c>
    </row>
    <row r="24" spans="2:23" s="447" customFormat="1" ht="15.75" x14ac:dyDescent="0.25">
      <c r="B24" s="460" t="s">
        <v>2522</v>
      </c>
      <c r="D24" s="447" t="s">
        <v>2523</v>
      </c>
      <c r="F24" s="447" t="s">
        <v>2512</v>
      </c>
      <c r="G24" s="132" t="str">
        <f t="shared" si="0"/>
        <v>20/5/2008</v>
      </c>
      <c r="H24" s="447">
        <v>20</v>
      </c>
      <c r="I24" s="447">
        <v>5</v>
      </c>
      <c r="J24" s="447">
        <v>2008</v>
      </c>
      <c r="K24" s="447" t="s">
        <v>1818</v>
      </c>
      <c r="L24" s="83">
        <v>18</v>
      </c>
      <c r="M24" s="447" t="s">
        <v>2513</v>
      </c>
      <c r="N24" s="461">
        <v>1157.68</v>
      </c>
      <c r="O24" s="447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62">
        <f t="shared" si="1"/>
        <v>1</v>
      </c>
      <c r="U24" s="447">
        <v>11034</v>
      </c>
      <c r="W24" s="44">
        <f t="shared" si="2"/>
        <v>60</v>
      </c>
    </row>
    <row r="25" spans="2:23" s="447" customFormat="1" ht="15.75" x14ac:dyDescent="0.25">
      <c r="B25" s="460" t="s">
        <v>2522</v>
      </c>
      <c r="D25" s="447" t="s">
        <v>2523</v>
      </c>
      <c r="F25" s="447" t="s">
        <v>2512</v>
      </c>
      <c r="G25" s="132" t="str">
        <f t="shared" si="0"/>
        <v>20/5/2008</v>
      </c>
      <c r="H25" s="447">
        <v>20</v>
      </c>
      <c r="I25" s="447">
        <v>5</v>
      </c>
      <c r="J25" s="447">
        <v>2008</v>
      </c>
      <c r="K25" s="447" t="s">
        <v>1818</v>
      </c>
      <c r="L25" s="83">
        <v>18</v>
      </c>
      <c r="M25" s="447" t="s">
        <v>2513</v>
      </c>
      <c r="N25" s="461">
        <v>1157.68</v>
      </c>
      <c r="O25" s="447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62">
        <f t="shared" si="1"/>
        <v>1</v>
      </c>
      <c r="U25" s="447">
        <v>11034</v>
      </c>
      <c r="W25" s="44">
        <f t="shared" si="2"/>
        <v>60</v>
      </c>
    </row>
    <row r="26" spans="2:23" s="447" customFormat="1" ht="15.75" x14ac:dyDescent="0.25">
      <c r="B26" s="460" t="s">
        <v>2522</v>
      </c>
      <c r="D26" s="447" t="s">
        <v>2523</v>
      </c>
      <c r="F26" s="447" t="s">
        <v>2512</v>
      </c>
      <c r="G26" s="132" t="str">
        <f t="shared" si="0"/>
        <v>20/5/2008</v>
      </c>
      <c r="H26" s="447">
        <v>20</v>
      </c>
      <c r="I26" s="447">
        <v>5</v>
      </c>
      <c r="J26" s="447">
        <v>2008</v>
      </c>
      <c r="K26" s="447" t="s">
        <v>1818</v>
      </c>
      <c r="L26" s="83">
        <v>18</v>
      </c>
      <c r="M26" s="447" t="s">
        <v>2513</v>
      </c>
      <c r="N26" s="461">
        <v>1157.68</v>
      </c>
      <c r="O26" s="447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62">
        <f t="shared" si="1"/>
        <v>1</v>
      </c>
      <c r="U26" s="447">
        <v>11034</v>
      </c>
      <c r="W26" s="44">
        <f t="shared" si="2"/>
        <v>60</v>
      </c>
    </row>
    <row r="27" spans="2:23" s="447" customFormat="1" ht="31.5" x14ac:dyDescent="0.25">
      <c r="B27" s="460" t="s">
        <v>2524</v>
      </c>
      <c r="C27" s="447" t="s">
        <v>2525</v>
      </c>
      <c r="D27" s="447" t="s">
        <v>2526</v>
      </c>
      <c r="F27" s="447" t="s">
        <v>2527</v>
      </c>
      <c r="G27" s="132" t="str">
        <f t="shared" si="0"/>
        <v>20/6/2008</v>
      </c>
      <c r="H27" s="447">
        <v>20</v>
      </c>
      <c r="I27" s="447">
        <v>6</v>
      </c>
      <c r="J27" s="447">
        <v>2008</v>
      </c>
      <c r="K27" s="447" t="s">
        <v>1818</v>
      </c>
      <c r="L27" s="83">
        <v>40</v>
      </c>
      <c r="M27" s="447" t="s">
        <v>2513</v>
      </c>
      <c r="N27" s="461">
        <v>2366.4</v>
      </c>
      <c r="O27" s="447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62">
        <f t="shared" si="1"/>
        <v>0.99999999999954525</v>
      </c>
      <c r="U27" s="447">
        <v>11232</v>
      </c>
      <c r="W27" s="44">
        <f t="shared" si="2"/>
        <v>60</v>
      </c>
    </row>
    <row r="28" spans="2:23" s="447" customFormat="1" ht="15.75" x14ac:dyDescent="0.25">
      <c r="B28" s="460" t="s">
        <v>2528</v>
      </c>
      <c r="C28" s="447" t="s">
        <v>2525</v>
      </c>
      <c r="D28" s="447" t="s">
        <v>2526</v>
      </c>
      <c r="F28" s="447" t="s">
        <v>2527</v>
      </c>
      <c r="G28" s="132" t="str">
        <f>CONCATENATE(H28,"/",I28,"/",J28,)</f>
        <v>20/6/2008</v>
      </c>
      <c r="H28" s="447">
        <v>20</v>
      </c>
      <c r="I28" s="447">
        <v>6</v>
      </c>
      <c r="J28" s="447">
        <v>2008</v>
      </c>
      <c r="K28" s="447" t="s">
        <v>1818</v>
      </c>
      <c r="L28" s="83">
        <v>40</v>
      </c>
      <c r="M28" s="447" t="s">
        <v>2513</v>
      </c>
      <c r="N28" s="461">
        <v>2366.4</v>
      </c>
      <c r="O28" s="447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62">
        <f t="shared" si="1"/>
        <v>0.99999999999954525</v>
      </c>
      <c r="U28" s="447">
        <v>11232</v>
      </c>
      <c r="W28" s="44">
        <f t="shared" si="2"/>
        <v>60</v>
      </c>
    </row>
    <row r="29" spans="2:23" s="447" customFormat="1" ht="15.75" x14ac:dyDescent="0.25">
      <c r="B29" s="460" t="s">
        <v>2528</v>
      </c>
      <c r="C29" s="447" t="s">
        <v>2525</v>
      </c>
      <c r="D29" s="447" t="s">
        <v>2526</v>
      </c>
      <c r="F29" s="447" t="s">
        <v>2527</v>
      </c>
      <c r="G29" s="132" t="str">
        <f t="shared" si="0"/>
        <v>20/6/2008</v>
      </c>
      <c r="H29" s="447">
        <v>20</v>
      </c>
      <c r="I29" s="447">
        <v>6</v>
      </c>
      <c r="J29" s="447">
        <v>2008</v>
      </c>
      <c r="K29" s="447" t="s">
        <v>1818</v>
      </c>
      <c r="L29" s="83">
        <v>40</v>
      </c>
      <c r="M29" s="447" t="s">
        <v>2513</v>
      </c>
      <c r="N29" s="461">
        <v>2366.4</v>
      </c>
      <c r="O29" s="447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62">
        <f t="shared" si="1"/>
        <v>0.99999999999954525</v>
      </c>
      <c r="U29" s="447">
        <v>11232</v>
      </c>
      <c r="W29" s="44">
        <f t="shared" si="2"/>
        <v>60</v>
      </c>
    </row>
    <row r="30" spans="2:23" s="447" customFormat="1" ht="15.75" x14ac:dyDescent="0.25">
      <c r="B30" s="460" t="s">
        <v>2528</v>
      </c>
      <c r="C30" s="447" t="s">
        <v>2525</v>
      </c>
      <c r="D30" s="447" t="s">
        <v>2526</v>
      </c>
      <c r="F30" s="447" t="s">
        <v>2527</v>
      </c>
      <c r="G30" s="132" t="str">
        <f t="shared" si="0"/>
        <v>20/6/2008</v>
      </c>
      <c r="H30" s="447">
        <v>20</v>
      </c>
      <c r="I30" s="447">
        <v>6</v>
      </c>
      <c r="J30" s="447">
        <v>2008</v>
      </c>
      <c r="K30" s="447" t="s">
        <v>1818</v>
      </c>
      <c r="L30" s="83">
        <v>40</v>
      </c>
      <c r="M30" s="447" t="s">
        <v>2513</v>
      </c>
      <c r="N30" s="461">
        <v>2366.4</v>
      </c>
      <c r="O30" s="447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62">
        <f t="shared" si="1"/>
        <v>0.99999999999954525</v>
      </c>
      <c r="U30" s="447">
        <v>11232</v>
      </c>
      <c r="W30" s="44">
        <f t="shared" si="2"/>
        <v>60</v>
      </c>
    </row>
    <row r="31" spans="2:23" s="447" customFormat="1" ht="15.75" x14ac:dyDescent="0.25">
      <c r="B31" s="460" t="s">
        <v>2528</v>
      </c>
      <c r="C31" s="447" t="s">
        <v>2525</v>
      </c>
      <c r="D31" s="447" t="s">
        <v>2526</v>
      </c>
      <c r="F31" s="447" t="s">
        <v>2527</v>
      </c>
      <c r="G31" s="132" t="str">
        <f t="shared" si="0"/>
        <v>20/6/2008</v>
      </c>
      <c r="H31" s="447">
        <v>20</v>
      </c>
      <c r="I31" s="447">
        <v>6</v>
      </c>
      <c r="J31" s="447">
        <v>2008</v>
      </c>
      <c r="K31" s="447" t="s">
        <v>1818</v>
      </c>
      <c r="L31" s="83">
        <v>40</v>
      </c>
      <c r="M31" s="447" t="s">
        <v>2513</v>
      </c>
      <c r="N31" s="461">
        <v>2366.4</v>
      </c>
      <c r="O31" s="447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62">
        <f t="shared" si="1"/>
        <v>0.99999999999954525</v>
      </c>
      <c r="U31" s="447">
        <v>11232</v>
      </c>
      <c r="W31" s="44">
        <f t="shared" si="2"/>
        <v>60</v>
      </c>
    </row>
    <row r="32" spans="2:23" s="447" customFormat="1" ht="15.75" x14ac:dyDescent="0.25">
      <c r="B32" s="460" t="s">
        <v>2529</v>
      </c>
      <c r="F32" s="447" t="s">
        <v>2530</v>
      </c>
      <c r="G32" s="132" t="str">
        <f t="shared" si="0"/>
        <v>20/6/2008</v>
      </c>
      <c r="H32" s="447">
        <v>20</v>
      </c>
      <c r="I32" s="447">
        <v>6</v>
      </c>
      <c r="J32" s="447">
        <v>2008</v>
      </c>
      <c r="K32" s="447" t="s">
        <v>1818</v>
      </c>
      <c r="L32" s="83">
        <v>40</v>
      </c>
      <c r="M32" s="447" t="s">
        <v>2513</v>
      </c>
      <c r="N32" s="461">
        <v>30740</v>
      </c>
      <c r="O32" s="447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62">
        <f t="shared" si="1"/>
        <v>0.99999999999636202</v>
      </c>
      <c r="U32" s="447">
        <v>11232</v>
      </c>
      <c r="W32" s="44">
        <f t="shared" si="2"/>
        <v>60</v>
      </c>
    </row>
    <row r="33" spans="2:23" s="447" customFormat="1" ht="15.75" x14ac:dyDescent="0.25">
      <c r="B33" s="460" t="s">
        <v>2529</v>
      </c>
      <c r="F33" s="447" t="s">
        <v>2530</v>
      </c>
      <c r="G33" s="132" t="str">
        <f t="shared" si="0"/>
        <v>20/6/2008</v>
      </c>
      <c r="H33" s="447">
        <v>20</v>
      </c>
      <c r="I33" s="447">
        <v>6</v>
      </c>
      <c r="J33" s="447">
        <v>2008</v>
      </c>
      <c r="K33" s="447" t="s">
        <v>1818</v>
      </c>
      <c r="L33" s="83">
        <v>40</v>
      </c>
      <c r="M33" s="447" t="s">
        <v>2513</v>
      </c>
      <c r="N33" s="461">
        <v>30740</v>
      </c>
      <c r="O33" s="447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62">
        <f t="shared" si="1"/>
        <v>0.99999999999636202</v>
      </c>
      <c r="U33" s="447">
        <v>11232</v>
      </c>
      <c r="W33" s="44">
        <f t="shared" si="2"/>
        <v>60</v>
      </c>
    </row>
    <row r="34" spans="2:23" s="447" customFormat="1" ht="15.75" x14ac:dyDescent="0.25">
      <c r="B34" s="460" t="s">
        <v>2529</v>
      </c>
      <c r="F34" s="447" t="s">
        <v>2530</v>
      </c>
      <c r="G34" s="132" t="str">
        <f t="shared" si="0"/>
        <v>20/6/2008</v>
      </c>
      <c r="H34" s="447">
        <v>20</v>
      </c>
      <c r="I34" s="447">
        <v>6</v>
      </c>
      <c r="J34" s="447">
        <v>2008</v>
      </c>
      <c r="K34" s="447" t="s">
        <v>1818</v>
      </c>
      <c r="L34" s="83">
        <v>40</v>
      </c>
      <c r="M34" s="447" t="s">
        <v>2513</v>
      </c>
      <c r="N34" s="461">
        <v>30740</v>
      </c>
      <c r="O34" s="447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62">
        <f t="shared" si="1"/>
        <v>0.99999999999636202</v>
      </c>
      <c r="U34" s="447">
        <v>11232</v>
      </c>
      <c r="W34" s="44">
        <f t="shared" si="2"/>
        <v>60</v>
      </c>
    </row>
    <row r="35" spans="2:23" s="447" customFormat="1" ht="15.75" x14ac:dyDescent="0.25">
      <c r="B35" s="463" t="s">
        <v>2529</v>
      </c>
      <c r="C35" s="464"/>
      <c r="D35" s="464"/>
      <c r="E35" s="464"/>
      <c r="F35" s="464" t="s">
        <v>2530</v>
      </c>
      <c r="G35" s="465" t="str">
        <f t="shared" si="0"/>
        <v>20/6/2008</v>
      </c>
      <c r="H35" s="464">
        <v>20</v>
      </c>
      <c r="I35" s="464">
        <v>6</v>
      </c>
      <c r="J35" s="464">
        <v>2008</v>
      </c>
      <c r="K35" s="464" t="s">
        <v>1818</v>
      </c>
      <c r="L35" s="466">
        <v>40</v>
      </c>
      <c r="M35" s="464" t="s">
        <v>2513</v>
      </c>
      <c r="N35" s="467">
        <v>30740</v>
      </c>
      <c r="O35" s="447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62">
        <f t="shared" si="1"/>
        <v>0.99999999999636202</v>
      </c>
      <c r="U35" s="447">
        <v>11232</v>
      </c>
      <c r="W35" s="44">
        <f t="shared" si="2"/>
        <v>60</v>
      </c>
    </row>
    <row r="36" spans="2:23" s="447" customFormat="1" ht="15.75" x14ac:dyDescent="0.25">
      <c r="B36" s="460" t="s">
        <v>2529</v>
      </c>
      <c r="F36" s="447" t="s">
        <v>2530</v>
      </c>
      <c r="G36" s="132" t="str">
        <f t="shared" si="0"/>
        <v>20/6/2008</v>
      </c>
      <c r="H36" s="447">
        <v>20</v>
      </c>
      <c r="I36" s="447">
        <v>6</v>
      </c>
      <c r="J36" s="447">
        <v>2008</v>
      </c>
      <c r="K36" s="447" t="s">
        <v>1818</v>
      </c>
      <c r="L36" s="83">
        <v>40</v>
      </c>
      <c r="M36" s="447" t="s">
        <v>2513</v>
      </c>
      <c r="N36" s="461">
        <v>30740</v>
      </c>
      <c r="O36" s="447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62">
        <f t="shared" si="1"/>
        <v>0.99999999999636202</v>
      </c>
      <c r="U36" s="447">
        <v>11232</v>
      </c>
      <c r="W36" s="44">
        <f t="shared" si="2"/>
        <v>60</v>
      </c>
    </row>
    <row r="37" spans="2:23" s="447" customFormat="1" ht="15.75" x14ac:dyDescent="0.25">
      <c r="B37" s="460" t="s">
        <v>2531</v>
      </c>
      <c r="C37" s="447" t="s">
        <v>2532</v>
      </c>
      <c r="D37" s="447" t="s">
        <v>2533</v>
      </c>
      <c r="F37" s="447" t="s">
        <v>2534</v>
      </c>
      <c r="G37" s="132" t="str">
        <f t="shared" si="0"/>
        <v>22/9/2008</v>
      </c>
      <c r="H37" s="447">
        <v>22</v>
      </c>
      <c r="I37" s="447">
        <v>9</v>
      </c>
      <c r="J37" s="447">
        <v>2008</v>
      </c>
      <c r="L37" s="83">
        <v>101</v>
      </c>
      <c r="M37" s="447" t="s">
        <v>2513</v>
      </c>
      <c r="N37" s="461">
        <v>27685</v>
      </c>
      <c r="O37" s="447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62">
        <f t="shared" si="1"/>
        <v>0.99999999999636202</v>
      </c>
      <c r="W37" s="44">
        <f t="shared" si="2"/>
        <v>60</v>
      </c>
    </row>
    <row r="38" spans="2:23" s="447" customFormat="1" ht="31.5" x14ac:dyDescent="0.25">
      <c r="B38" s="460" t="s">
        <v>2535</v>
      </c>
      <c r="F38" s="447" t="s">
        <v>2536</v>
      </c>
      <c r="G38" s="132" t="str">
        <f t="shared" si="0"/>
        <v>9/10/2008</v>
      </c>
      <c r="H38" s="447">
        <v>9</v>
      </c>
      <c r="I38" s="447">
        <v>10</v>
      </c>
      <c r="J38" s="447">
        <v>2008</v>
      </c>
      <c r="L38" s="83"/>
      <c r="M38" s="447" t="s">
        <v>2513</v>
      </c>
      <c r="N38" s="461">
        <v>30740</v>
      </c>
      <c r="O38" s="447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62">
        <f t="shared" si="1"/>
        <v>0.99999999999636202</v>
      </c>
      <c r="U38" s="447">
        <v>11552</v>
      </c>
      <c r="W38" s="44">
        <f t="shared" si="2"/>
        <v>60</v>
      </c>
    </row>
    <row r="39" spans="2:23" s="447" customFormat="1" ht="31.5" x14ac:dyDescent="0.25">
      <c r="B39" s="460" t="s">
        <v>2535</v>
      </c>
      <c r="F39" s="447" t="s">
        <v>2537</v>
      </c>
      <c r="G39" s="132" t="str">
        <f t="shared" si="0"/>
        <v>9/10/2008</v>
      </c>
      <c r="H39" s="447">
        <v>9</v>
      </c>
      <c r="I39" s="447">
        <v>10</v>
      </c>
      <c r="J39" s="447">
        <v>2008</v>
      </c>
      <c r="L39" s="83"/>
      <c r="M39" s="447" t="s">
        <v>2513</v>
      </c>
      <c r="N39" s="461">
        <v>30740</v>
      </c>
      <c r="O39" s="447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62">
        <f t="shared" si="1"/>
        <v>0.99999999999636202</v>
      </c>
      <c r="U39" s="447">
        <v>11552</v>
      </c>
      <c r="W39" s="44">
        <f t="shared" si="2"/>
        <v>60</v>
      </c>
    </row>
    <row r="40" spans="2:23" s="447" customFormat="1" ht="31.5" x14ac:dyDescent="0.25">
      <c r="B40" s="460" t="s">
        <v>2535</v>
      </c>
      <c r="F40" s="447" t="s">
        <v>2536</v>
      </c>
      <c r="G40" s="132" t="str">
        <f t="shared" si="0"/>
        <v>9/10/2008</v>
      </c>
      <c r="H40" s="447">
        <v>9</v>
      </c>
      <c r="I40" s="447">
        <v>10</v>
      </c>
      <c r="J40" s="447">
        <v>2008</v>
      </c>
      <c r="L40" s="83"/>
      <c r="M40" s="447" t="s">
        <v>2513</v>
      </c>
      <c r="N40" s="461">
        <v>30740</v>
      </c>
      <c r="O40" s="447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62">
        <f t="shared" si="1"/>
        <v>0.99999999999636202</v>
      </c>
      <c r="U40" s="447">
        <v>11552</v>
      </c>
      <c r="W40" s="44">
        <f t="shared" si="2"/>
        <v>60</v>
      </c>
    </row>
    <row r="41" spans="2:23" s="447" customFormat="1" ht="31.5" x14ac:dyDescent="0.25">
      <c r="B41" s="460" t="s">
        <v>2535</v>
      </c>
      <c r="F41" s="447" t="s">
        <v>2536</v>
      </c>
      <c r="G41" s="132" t="str">
        <f t="shared" si="0"/>
        <v>9/10/2008</v>
      </c>
      <c r="H41" s="447">
        <v>9</v>
      </c>
      <c r="I41" s="447">
        <v>10</v>
      </c>
      <c r="J41" s="447">
        <v>2008</v>
      </c>
      <c r="L41" s="83"/>
      <c r="M41" s="447" t="s">
        <v>2513</v>
      </c>
      <c r="N41" s="461">
        <v>30740</v>
      </c>
      <c r="O41" s="447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62">
        <f t="shared" si="1"/>
        <v>0.99999999999636202</v>
      </c>
      <c r="U41" s="447">
        <v>11552</v>
      </c>
      <c r="W41" s="44">
        <f t="shared" si="2"/>
        <v>60</v>
      </c>
    </row>
    <row r="42" spans="2:23" s="447" customFormat="1" ht="15.75" x14ac:dyDescent="0.25">
      <c r="B42" s="460" t="s">
        <v>2538</v>
      </c>
      <c r="C42" s="447" t="s">
        <v>2539</v>
      </c>
      <c r="F42" s="447" t="s">
        <v>2536</v>
      </c>
      <c r="G42" s="132" t="str">
        <f t="shared" si="0"/>
        <v>9/10/2008</v>
      </c>
      <c r="H42" s="447">
        <v>9</v>
      </c>
      <c r="I42" s="447">
        <v>10</v>
      </c>
      <c r="J42" s="447">
        <v>2008</v>
      </c>
      <c r="L42" s="83"/>
      <c r="M42" s="447" t="s">
        <v>2513</v>
      </c>
      <c r="N42" s="461">
        <v>2366.4</v>
      </c>
      <c r="O42" s="447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62">
        <f t="shared" si="1"/>
        <v>0.99999999999954525</v>
      </c>
      <c r="U42" s="447">
        <v>11552</v>
      </c>
      <c r="W42" s="44">
        <f t="shared" si="2"/>
        <v>60</v>
      </c>
    </row>
    <row r="43" spans="2:23" s="447" customFormat="1" ht="15.75" x14ac:dyDescent="0.25">
      <c r="B43" s="460" t="s">
        <v>2538</v>
      </c>
      <c r="C43" s="447" t="s">
        <v>2539</v>
      </c>
      <c r="F43" s="447" t="s">
        <v>2536</v>
      </c>
      <c r="G43" s="132" t="str">
        <f t="shared" si="0"/>
        <v>9/10/2008</v>
      </c>
      <c r="H43" s="447">
        <v>9</v>
      </c>
      <c r="I43" s="447">
        <v>10</v>
      </c>
      <c r="J43" s="447">
        <v>2008</v>
      </c>
      <c r="L43" s="83"/>
      <c r="M43" s="447" t="s">
        <v>2513</v>
      </c>
      <c r="N43" s="461">
        <v>2366.4</v>
      </c>
      <c r="O43" s="447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62">
        <f t="shared" si="1"/>
        <v>0.99999999999954525</v>
      </c>
      <c r="U43" s="447">
        <v>11552</v>
      </c>
      <c r="W43" s="44">
        <f t="shared" si="2"/>
        <v>60</v>
      </c>
    </row>
    <row r="44" spans="2:23" s="447" customFormat="1" ht="15.75" x14ac:dyDescent="0.25">
      <c r="B44" s="460" t="s">
        <v>2538</v>
      </c>
      <c r="C44" s="447" t="s">
        <v>2539</v>
      </c>
      <c r="F44" s="447" t="s">
        <v>2536</v>
      </c>
      <c r="G44" s="132" t="str">
        <f t="shared" si="0"/>
        <v>9/10/2008</v>
      </c>
      <c r="H44" s="447">
        <v>9</v>
      </c>
      <c r="I44" s="447">
        <v>10</v>
      </c>
      <c r="J44" s="447">
        <v>2008</v>
      </c>
      <c r="L44" s="83"/>
      <c r="M44" s="447" t="s">
        <v>2513</v>
      </c>
      <c r="N44" s="461">
        <v>2366.4</v>
      </c>
      <c r="O44" s="447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62">
        <f t="shared" si="1"/>
        <v>0.99999999999954525</v>
      </c>
      <c r="U44" s="447">
        <v>11552</v>
      </c>
      <c r="W44" s="44">
        <f t="shared" si="2"/>
        <v>60</v>
      </c>
    </row>
    <row r="45" spans="2:23" s="447" customFormat="1" ht="15.75" x14ac:dyDescent="0.25">
      <c r="B45" s="460" t="s">
        <v>2538</v>
      </c>
      <c r="C45" s="447" t="s">
        <v>2539</v>
      </c>
      <c r="F45" s="447" t="s">
        <v>2536</v>
      </c>
      <c r="G45" s="132" t="str">
        <f t="shared" si="0"/>
        <v>9/10/2008</v>
      </c>
      <c r="H45" s="447">
        <v>9</v>
      </c>
      <c r="I45" s="447">
        <v>10</v>
      </c>
      <c r="J45" s="447">
        <v>2008</v>
      </c>
      <c r="L45" s="83"/>
      <c r="M45" s="447" t="s">
        <v>2513</v>
      </c>
      <c r="N45" s="461">
        <v>2366.4</v>
      </c>
      <c r="O45" s="447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62">
        <f t="shared" si="1"/>
        <v>0.99999999999954525</v>
      </c>
      <c r="U45" s="447">
        <v>11552</v>
      </c>
      <c r="W45" s="44">
        <f t="shared" si="2"/>
        <v>60</v>
      </c>
    </row>
    <row r="46" spans="2:23" s="447" customFormat="1" ht="15.75" x14ac:dyDescent="0.25">
      <c r="B46" s="460" t="s">
        <v>2540</v>
      </c>
      <c r="F46" s="447" t="s">
        <v>2541</v>
      </c>
      <c r="G46" s="132" t="str">
        <f t="shared" si="0"/>
        <v>8/9/2008</v>
      </c>
      <c r="H46" s="447">
        <v>8</v>
      </c>
      <c r="I46" s="447">
        <v>9</v>
      </c>
      <c r="J46" s="447">
        <v>2008</v>
      </c>
      <c r="L46" s="83"/>
      <c r="M46" s="447" t="s">
        <v>2513</v>
      </c>
      <c r="N46" s="461">
        <v>5788.4</v>
      </c>
      <c r="O46" s="447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62">
        <f t="shared" si="1"/>
        <v>1</v>
      </c>
      <c r="W46" s="44">
        <f t="shared" si="2"/>
        <v>60</v>
      </c>
    </row>
    <row r="47" spans="2:23" s="447" customFormat="1" ht="31.5" x14ac:dyDescent="0.25">
      <c r="B47" s="460" t="s">
        <v>2542</v>
      </c>
      <c r="F47" s="447" t="s">
        <v>2541</v>
      </c>
      <c r="G47" s="132" t="str">
        <f t="shared" si="0"/>
        <v>8/9/2008</v>
      </c>
      <c r="H47" s="447">
        <v>8</v>
      </c>
      <c r="I47" s="447">
        <v>9</v>
      </c>
      <c r="J47" s="447">
        <v>2008</v>
      </c>
      <c r="L47" s="83"/>
      <c r="M47" s="447" t="s">
        <v>2513</v>
      </c>
      <c r="N47" s="461">
        <v>27358.6</v>
      </c>
      <c r="O47" s="447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62">
        <f t="shared" si="1"/>
        <v>1</v>
      </c>
      <c r="W47" s="44">
        <f t="shared" si="2"/>
        <v>60</v>
      </c>
    </row>
    <row r="48" spans="2:23" s="447" customFormat="1" ht="15.75" x14ac:dyDescent="0.25">
      <c r="B48" s="460" t="s">
        <v>2543</v>
      </c>
      <c r="F48" s="447" t="s">
        <v>2541</v>
      </c>
      <c r="G48" s="132" t="str">
        <f t="shared" si="0"/>
        <v>8/9/2008</v>
      </c>
      <c r="H48" s="447">
        <v>8</v>
      </c>
      <c r="I48" s="447">
        <v>9</v>
      </c>
      <c r="J48" s="447">
        <v>2008</v>
      </c>
      <c r="L48" s="83"/>
      <c r="M48" s="447" t="s">
        <v>2513</v>
      </c>
      <c r="N48" s="461">
        <v>46487</v>
      </c>
      <c r="O48" s="447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62">
        <f t="shared" si="1"/>
        <v>0.99999999999272404</v>
      </c>
      <c r="W48" s="44">
        <f t="shared" si="2"/>
        <v>60</v>
      </c>
    </row>
    <row r="49" spans="1:23" s="447" customFormat="1" ht="15.75" x14ac:dyDescent="0.25">
      <c r="B49" s="460" t="s">
        <v>2544</v>
      </c>
      <c r="F49" s="447" t="s">
        <v>2541</v>
      </c>
      <c r="G49" s="132" t="str">
        <f t="shared" si="0"/>
        <v>8/9/2008</v>
      </c>
      <c r="H49" s="447">
        <v>8</v>
      </c>
      <c r="I49" s="447">
        <v>9</v>
      </c>
      <c r="J49" s="447">
        <v>2008</v>
      </c>
      <c r="L49" s="83"/>
      <c r="M49" s="447" t="s">
        <v>2513</v>
      </c>
      <c r="N49" s="461">
        <v>37700</v>
      </c>
      <c r="O49" s="447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62">
        <f t="shared" si="1"/>
        <v>1</v>
      </c>
      <c r="W49" s="44">
        <f t="shared" si="2"/>
        <v>60</v>
      </c>
    </row>
    <row r="50" spans="1:23" s="447" customFormat="1" ht="15.75" x14ac:dyDescent="0.25">
      <c r="B50" s="460" t="s">
        <v>2545</v>
      </c>
      <c r="F50" s="447" t="s">
        <v>2541</v>
      </c>
      <c r="G50" s="132" t="str">
        <f t="shared" si="0"/>
        <v>8/9/2008</v>
      </c>
      <c r="H50" s="447">
        <v>8</v>
      </c>
      <c r="I50" s="447">
        <v>9</v>
      </c>
      <c r="J50" s="447">
        <v>2008</v>
      </c>
      <c r="L50" s="83"/>
      <c r="M50" s="447" t="s">
        <v>2513</v>
      </c>
      <c r="N50" s="461">
        <v>64588.800000000003</v>
      </c>
      <c r="O50" s="447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62">
        <f t="shared" si="1"/>
        <v>1</v>
      </c>
      <c r="W50" s="44">
        <f t="shared" si="2"/>
        <v>60</v>
      </c>
    </row>
    <row r="51" spans="1:23" s="447" customFormat="1" ht="15.75" x14ac:dyDescent="0.25">
      <c r="B51" s="460" t="s">
        <v>2546</v>
      </c>
      <c r="F51" s="447" t="s">
        <v>2541</v>
      </c>
      <c r="G51" s="132" t="str">
        <f t="shared" si="0"/>
        <v>8/9/2008</v>
      </c>
      <c r="H51" s="447">
        <v>8</v>
      </c>
      <c r="I51" s="447">
        <v>9</v>
      </c>
      <c r="J51" s="447">
        <v>2008</v>
      </c>
      <c r="L51" s="83"/>
      <c r="M51" s="447" t="s">
        <v>2513</v>
      </c>
      <c r="N51" s="461">
        <v>37642</v>
      </c>
      <c r="O51" s="447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62">
        <f t="shared" si="1"/>
        <v>1</v>
      </c>
      <c r="W51" s="44">
        <f t="shared" si="2"/>
        <v>60</v>
      </c>
    </row>
    <row r="52" spans="1:23" s="452" customFormat="1" ht="15.75" x14ac:dyDescent="0.25">
      <c r="A52" s="452" t="s">
        <v>429</v>
      </c>
      <c r="B52" s="460"/>
      <c r="G52" s="132"/>
      <c r="L52" s="468"/>
      <c r="N52" s="469">
        <f>SUM(N8:N51)</f>
        <v>677031.88000000012</v>
      </c>
      <c r="P52" s="469">
        <f>SUM(P8:P51)</f>
        <v>0</v>
      </c>
      <c r="Q52" s="469">
        <v>676987.88000000012</v>
      </c>
      <c r="R52" s="469">
        <f>SUM(R8:R51)</f>
        <v>676987.88000000012</v>
      </c>
      <c r="S52" s="469">
        <f>SUM(S8:S51)</f>
        <v>0</v>
      </c>
      <c r="T52" s="469">
        <f>SUM(T8:T51)</f>
        <v>43.999999999959527</v>
      </c>
      <c r="W52" s="44"/>
    </row>
    <row r="53" spans="1:23" s="447" customFormat="1" ht="15.75" x14ac:dyDescent="0.25">
      <c r="B53" s="460"/>
      <c r="G53" s="132"/>
      <c r="L53" s="83"/>
      <c r="N53" s="461"/>
      <c r="P53" s="462"/>
      <c r="Q53" s="462"/>
      <c r="R53" s="462"/>
      <c r="S53" s="462"/>
      <c r="W53" s="44"/>
    </row>
    <row r="54" spans="1:23" s="447" customFormat="1" ht="15.75" x14ac:dyDescent="0.25">
      <c r="B54" s="460" t="s">
        <v>2547</v>
      </c>
      <c r="C54" s="33" t="s">
        <v>2548</v>
      </c>
      <c r="D54" s="33"/>
      <c r="E54" s="33"/>
      <c r="F54" s="33" t="s">
        <v>2549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2513</v>
      </c>
      <c r="N54" s="470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2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7" customFormat="1" ht="15.75" x14ac:dyDescent="0.25">
      <c r="B55" s="460" t="s">
        <v>2550</v>
      </c>
      <c r="C55" s="33" t="s">
        <v>2548</v>
      </c>
      <c r="D55" s="33"/>
      <c r="E55" s="33"/>
      <c r="F55" s="33" t="s">
        <v>2549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2513</v>
      </c>
      <c r="N55" s="470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2">
        <f t="shared" si="5"/>
        <v>1</v>
      </c>
      <c r="W55" s="44">
        <f t="shared" si="6"/>
        <v>60</v>
      </c>
    </row>
    <row r="56" spans="1:23" s="447" customFormat="1" ht="15.75" x14ac:dyDescent="0.25">
      <c r="B56" s="460" t="s">
        <v>2550</v>
      </c>
      <c r="C56" s="33" t="s">
        <v>2548</v>
      </c>
      <c r="D56" s="33"/>
      <c r="E56" s="33"/>
      <c r="F56" s="33" t="s">
        <v>2549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2513</v>
      </c>
      <c r="N56" s="470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2">
        <f t="shared" si="5"/>
        <v>1</v>
      </c>
      <c r="W56" s="44">
        <f t="shared" si="6"/>
        <v>60</v>
      </c>
    </row>
    <row r="57" spans="1:23" s="447" customFormat="1" ht="15.75" x14ac:dyDescent="0.25">
      <c r="B57" s="460" t="s">
        <v>2550</v>
      </c>
      <c r="C57" s="33" t="s">
        <v>2548</v>
      </c>
      <c r="D57" s="33"/>
      <c r="E57" s="33"/>
      <c r="F57" s="33" t="s">
        <v>2549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2513</v>
      </c>
      <c r="N57" s="470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2">
        <f t="shared" si="5"/>
        <v>1</v>
      </c>
      <c r="W57" s="44">
        <f t="shared" si="6"/>
        <v>60</v>
      </c>
    </row>
    <row r="58" spans="1:23" s="447" customFormat="1" ht="15.75" x14ac:dyDescent="0.25">
      <c r="B58" s="460" t="s">
        <v>2550</v>
      </c>
      <c r="C58" s="33" t="s">
        <v>2548</v>
      </c>
      <c r="D58" s="33"/>
      <c r="E58" s="33"/>
      <c r="F58" s="33" t="s">
        <v>2549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2513</v>
      </c>
      <c r="N58" s="470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2">
        <f t="shared" si="5"/>
        <v>1</v>
      </c>
      <c r="W58" s="44">
        <f t="shared" si="6"/>
        <v>60</v>
      </c>
    </row>
    <row r="59" spans="1:23" s="447" customFormat="1" ht="15.75" x14ac:dyDescent="0.25">
      <c r="B59" s="460" t="s">
        <v>2550</v>
      </c>
      <c r="C59" s="33" t="s">
        <v>2548</v>
      </c>
      <c r="D59" s="33"/>
      <c r="E59" s="33"/>
      <c r="F59" s="33" t="s">
        <v>2549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2513</v>
      </c>
      <c r="N59" s="470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2">
        <f t="shared" si="5"/>
        <v>1</v>
      </c>
      <c r="W59" s="44">
        <f t="shared" si="6"/>
        <v>60</v>
      </c>
    </row>
    <row r="60" spans="1:23" s="447" customFormat="1" ht="15.75" x14ac:dyDescent="0.25">
      <c r="A60" s="452" t="s">
        <v>532</v>
      </c>
      <c r="B60" s="460"/>
      <c r="G60" s="132"/>
      <c r="L60" s="83"/>
      <c r="N60" s="471">
        <f>SUM(N54:N59)</f>
        <v>54984</v>
      </c>
      <c r="P60" s="471">
        <f>SUM(P54:P59)</f>
        <v>0</v>
      </c>
      <c r="Q60" s="471">
        <v>54978</v>
      </c>
      <c r="R60" s="471">
        <f>SUM(R54:R59)</f>
        <v>54978</v>
      </c>
      <c r="S60" s="471">
        <f>SUM(S54:S59)</f>
        <v>0</v>
      </c>
      <c r="T60" s="471">
        <f>SUM(T54:T59)</f>
        <v>6</v>
      </c>
      <c r="W60" s="44"/>
    </row>
    <row r="61" spans="1:23" s="447" customFormat="1" ht="15.75" x14ac:dyDescent="0.25">
      <c r="A61" s="452"/>
      <c r="B61" s="460"/>
      <c r="G61" s="132"/>
      <c r="L61" s="83"/>
      <c r="N61" s="472"/>
      <c r="P61" s="472"/>
      <c r="Q61" s="472"/>
      <c r="R61" s="472"/>
      <c r="S61" s="472"/>
      <c r="T61" s="472"/>
      <c r="W61" s="44"/>
    </row>
    <row r="62" spans="1:23" s="447" customFormat="1" ht="15.75" x14ac:dyDescent="0.25">
      <c r="A62" s="452"/>
      <c r="B62" s="460" t="s">
        <v>2551</v>
      </c>
      <c r="F62" s="447" t="s">
        <v>2552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62">
        <f>(N62/O62)/12</f>
        <v>250.00016666666667</v>
      </c>
      <c r="Q62" s="5">
        <v>11000.007333333333</v>
      </c>
      <c r="R62" s="462">
        <f>P62*W62</f>
        <v>13750.009166666667</v>
      </c>
      <c r="S62" s="15">
        <f>R62-Q62</f>
        <v>2750.0018333333337</v>
      </c>
      <c r="T62" s="462">
        <f>N62-R62</f>
        <v>1250.0008333333335</v>
      </c>
      <c r="U62" s="52">
        <v>15407</v>
      </c>
      <c r="W62" s="44">
        <f t="shared" si="6"/>
        <v>55</v>
      </c>
    </row>
    <row r="63" spans="1:23" s="447" customFormat="1" ht="15.75" x14ac:dyDescent="0.25">
      <c r="A63" s="452"/>
      <c r="B63" s="460" t="s">
        <v>2553</v>
      </c>
      <c r="F63" s="447" t="s">
        <v>2552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62">
        <f>(N63/O63)/12</f>
        <v>35.992833333333337</v>
      </c>
      <c r="Q63" s="5">
        <v>1583.6846666666668</v>
      </c>
      <c r="R63" s="462">
        <f>P63*W63</f>
        <v>1979.6058333333335</v>
      </c>
      <c r="S63" s="15">
        <f>R63-Q63</f>
        <v>395.92116666666675</v>
      </c>
      <c r="T63" s="462">
        <f>N63-R63</f>
        <v>179.96416666666664</v>
      </c>
      <c r="U63" s="52">
        <v>15407</v>
      </c>
      <c r="W63" s="44">
        <f t="shared" si="6"/>
        <v>55</v>
      </c>
    </row>
    <row r="64" spans="1:23" s="447" customFormat="1" ht="15.75" x14ac:dyDescent="0.25">
      <c r="A64" s="452"/>
      <c r="B64" s="460" t="s">
        <v>2554</v>
      </c>
      <c r="F64" s="447" t="s">
        <v>2552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62">
        <f>(N64/O64)/12</f>
        <v>344.13333333333338</v>
      </c>
      <c r="Q64" s="5">
        <v>15141.866666666669</v>
      </c>
      <c r="R64" s="462">
        <f>P64*W64</f>
        <v>18927.333333333336</v>
      </c>
      <c r="S64" s="15">
        <f>R64-Q64</f>
        <v>3785.4666666666672</v>
      </c>
      <c r="T64" s="462">
        <f>N64-R64</f>
        <v>1720.6666666666642</v>
      </c>
      <c r="U64" s="52">
        <v>15407</v>
      </c>
      <c r="W64" s="44">
        <f t="shared" si="6"/>
        <v>55</v>
      </c>
    </row>
    <row r="65" spans="1:23" s="452" customFormat="1" ht="15.75" x14ac:dyDescent="0.25">
      <c r="A65" s="452" t="s">
        <v>685</v>
      </c>
      <c r="B65" s="55"/>
      <c r="L65" s="468"/>
      <c r="N65" s="471">
        <f>SUM(N62:N64)</f>
        <v>37807.58</v>
      </c>
      <c r="P65" s="473">
        <f>SUM(P62:P64)</f>
        <v>630.12633333333338</v>
      </c>
      <c r="Q65" s="473">
        <v>27725.558666666668</v>
      </c>
      <c r="R65" s="473">
        <f>SUM(R62:R64)</f>
        <v>34656.948333333334</v>
      </c>
      <c r="S65" s="473">
        <f>SUM(S62:S64)</f>
        <v>6931.3896666666678</v>
      </c>
      <c r="T65" s="473">
        <f>SUM(T62:T64)</f>
        <v>3150.6316666666644</v>
      </c>
      <c r="W65" s="44"/>
    </row>
    <row r="66" spans="1:23" s="447" customFormat="1" ht="15.75" x14ac:dyDescent="0.25">
      <c r="B66" s="33"/>
      <c r="L66" s="83"/>
      <c r="N66" s="474"/>
      <c r="P66" s="462"/>
      <c r="Q66" s="462"/>
      <c r="R66" s="462"/>
      <c r="S66" s="462"/>
      <c r="T66" s="462"/>
      <c r="W66" s="44"/>
    </row>
    <row r="67" spans="1:23" s="452" customFormat="1" ht="15.75" x14ac:dyDescent="0.25">
      <c r="A67" s="105" t="s">
        <v>687</v>
      </c>
      <c r="B67" s="55"/>
      <c r="L67" s="468"/>
      <c r="N67" s="475">
        <f>+N65+N60+N52</f>
        <v>769823.46000000008</v>
      </c>
      <c r="P67" s="475">
        <f>+P65+P60+P52</f>
        <v>630.12633333333338</v>
      </c>
      <c r="Q67" s="475">
        <v>759691.43866666674</v>
      </c>
      <c r="R67" s="475">
        <f>+R65+R60+R52</f>
        <v>766622.82833333348</v>
      </c>
      <c r="S67" s="475">
        <f>+S65+S60+S52</f>
        <v>6931.3896666666678</v>
      </c>
      <c r="T67" s="475">
        <f>+T65+T60+T52</f>
        <v>3200.6316666666239</v>
      </c>
      <c r="W67" s="476"/>
    </row>
    <row r="68" spans="1:23" s="447" customFormat="1" ht="15.75" x14ac:dyDescent="0.25">
      <c r="B68" s="33"/>
      <c r="L68" s="83"/>
      <c r="N68" s="474"/>
      <c r="P68" s="462"/>
      <c r="Q68" s="462"/>
      <c r="R68" s="462"/>
      <c r="S68" s="462"/>
      <c r="T68" s="462"/>
      <c r="W68" s="44"/>
    </row>
    <row r="69" spans="1:23" s="447" customFormat="1" ht="15.75" x14ac:dyDescent="0.25">
      <c r="B69" s="33" t="s">
        <v>2555</v>
      </c>
      <c r="F69" s="447" t="s">
        <v>2556</v>
      </c>
      <c r="G69" s="477">
        <v>41110</v>
      </c>
      <c r="H69" s="447">
        <v>20</v>
      </c>
      <c r="I69" s="447">
        <v>7</v>
      </c>
      <c r="J69" s="447">
        <v>2012</v>
      </c>
      <c r="K69" s="33" t="s">
        <v>539</v>
      </c>
      <c r="L69" s="83" t="s">
        <v>2557</v>
      </c>
      <c r="M69" s="33" t="s">
        <v>2513</v>
      </c>
      <c r="N69" s="474">
        <f>17500*1.16</f>
        <v>20300</v>
      </c>
      <c r="O69" s="33">
        <v>5</v>
      </c>
      <c r="P69" s="462">
        <f>(N69/O69)/12</f>
        <v>338.33333333333331</v>
      </c>
      <c r="Q69" s="5">
        <v>9811.6666666666661</v>
      </c>
      <c r="R69" s="462">
        <f t="shared" ref="R69:R90" si="7">P69*W69</f>
        <v>13533.333333333332</v>
      </c>
      <c r="S69" s="15">
        <f t="shared" ref="S69:S90" si="8">R69-Q69</f>
        <v>3721.6666666666661</v>
      </c>
      <c r="T69" s="462">
        <f t="shared" ref="T69:T90" si="9">N69-R69</f>
        <v>6766.6666666666679</v>
      </c>
      <c r="U69" s="447">
        <v>17271</v>
      </c>
      <c r="W69" s="44">
        <f t="shared" ref="W69:W90" si="10">IF((DATEDIF(G69,W$5,"m"))&gt;=60,60,(DATEDIF(G69,W$5,"m")))</f>
        <v>40</v>
      </c>
    </row>
    <row r="70" spans="1:23" s="447" customFormat="1" ht="15.75" x14ac:dyDescent="0.25">
      <c r="B70" s="33" t="s">
        <v>2555</v>
      </c>
      <c r="F70" s="447" t="s">
        <v>2556</v>
      </c>
      <c r="G70" s="477">
        <v>41110</v>
      </c>
      <c r="H70" s="447">
        <v>20</v>
      </c>
      <c r="I70" s="447">
        <v>7</v>
      </c>
      <c r="J70" s="447">
        <v>2012</v>
      </c>
      <c r="K70" s="33" t="s">
        <v>539</v>
      </c>
      <c r="L70" s="83" t="s">
        <v>2557</v>
      </c>
      <c r="M70" s="33" t="s">
        <v>2513</v>
      </c>
      <c r="N70" s="474">
        <f>17500*1.16</f>
        <v>20300</v>
      </c>
      <c r="O70" s="33">
        <v>5</v>
      </c>
      <c r="P70" s="462">
        <f t="shared" ref="P70:P90" si="11">(N70/O70)/12</f>
        <v>338.33333333333331</v>
      </c>
      <c r="Q70" s="5">
        <v>9811.6666666666661</v>
      </c>
      <c r="R70" s="462">
        <f t="shared" si="7"/>
        <v>13533.333333333332</v>
      </c>
      <c r="S70" s="15">
        <f t="shared" si="8"/>
        <v>3721.6666666666661</v>
      </c>
      <c r="T70" s="462">
        <f t="shared" si="9"/>
        <v>6766.6666666666679</v>
      </c>
      <c r="U70" s="447">
        <v>17271</v>
      </c>
      <c r="W70" s="44">
        <f t="shared" si="10"/>
        <v>40</v>
      </c>
    </row>
    <row r="71" spans="1:23" s="447" customFormat="1" ht="15.75" x14ac:dyDescent="0.25">
      <c r="B71" s="33" t="s">
        <v>2555</v>
      </c>
      <c r="F71" s="447" t="s">
        <v>2556</v>
      </c>
      <c r="G71" s="477">
        <v>41110</v>
      </c>
      <c r="H71" s="447">
        <v>20</v>
      </c>
      <c r="I71" s="447">
        <v>7</v>
      </c>
      <c r="J71" s="447">
        <v>2012</v>
      </c>
      <c r="K71" s="33" t="s">
        <v>539</v>
      </c>
      <c r="L71" s="83" t="s">
        <v>2557</v>
      </c>
      <c r="M71" s="33" t="s">
        <v>2513</v>
      </c>
      <c r="N71" s="474">
        <f>17500*1.16</f>
        <v>20300</v>
      </c>
      <c r="O71" s="33">
        <v>5</v>
      </c>
      <c r="P71" s="462">
        <f t="shared" si="11"/>
        <v>338.33333333333331</v>
      </c>
      <c r="Q71" s="5">
        <v>9811.6666666666661</v>
      </c>
      <c r="R71" s="462">
        <f t="shared" si="7"/>
        <v>13533.333333333332</v>
      </c>
      <c r="S71" s="15">
        <f t="shared" si="8"/>
        <v>3721.6666666666661</v>
      </c>
      <c r="T71" s="462">
        <f t="shared" si="9"/>
        <v>6766.6666666666679</v>
      </c>
      <c r="U71" s="447">
        <v>17271</v>
      </c>
      <c r="W71" s="44">
        <f t="shared" si="10"/>
        <v>40</v>
      </c>
    </row>
    <row r="72" spans="1:23" s="447" customFormat="1" ht="15.75" x14ac:dyDescent="0.25">
      <c r="B72" s="33" t="s">
        <v>2558</v>
      </c>
      <c r="F72" s="447" t="s">
        <v>2559</v>
      </c>
      <c r="G72" s="477">
        <v>41110</v>
      </c>
      <c r="H72" s="447">
        <v>20</v>
      </c>
      <c r="I72" s="447">
        <v>7</v>
      </c>
      <c r="J72" s="447">
        <v>2012</v>
      </c>
      <c r="K72" s="33" t="s">
        <v>539</v>
      </c>
      <c r="L72" s="83" t="s">
        <v>2560</v>
      </c>
      <c r="M72" s="33" t="s">
        <v>2513</v>
      </c>
      <c r="N72" s="474">
        <f>850*1.16</f>
        <v>985.99999999999989</v>
      </c>
      <c r="O72" s="33">
        <v>5</v>
      </c>
      <c r="P72" s="462">
        <f t="shared" si="11"/>
        <v>16.433333333333334</v>
      </c>
      <c r="Q72" s="5">
        <v>476.56666666666666</v>
      </c>
      <c r="R72" s="462">
        <f t="shared" si="7"/>
        <v>657.33333333333337</v>
      </c>
      <c r="S72" s="15">
        <f t="shared" si="8"/>
        <v>180.76666666666671</v>
      </c>
      <c r="T72" s="462">
        <f t="shared" si="9"/>
        <v>328.66666666666652</v>
      </c>
      <c r="U72" s="447">
        <v>17316</v>
      </c>
      <c r="W72" s="44">
        <f t="shared" si="10"/>
        <v>40</v>
      </c>
    </row>
    <row r="73" spans="1:23" s="447" customFormat="1" ht="15.75" x14ac:dyDescent="0.25">
      <c r="B73" s="33" t="s">
        <v>2558</v>
      </c>
      <c r="F73" s="447" t="s">
        <v>2559</v>
      </c>
      <c r="G73" s="477">
        <v>41110</v>
      </c>
      <c r="H73" s="447">
        <v>20</v>
      </c>
      <c r="I73" s="447">
        <v>7</v>
      </c>
      <c r="J73" s="447">
        <v>2012</v>
      </c>
      <c r="K73" s="33" t="s">
        <v>539</v>
      </c>
      <c r="L73" s="83" t="s">
        <v>2560</v>
      </c>
      <c r="M73" s="33" t="s">
        <v>2513</v>
      </c>
      <c r="N73" s="474">
        <f>850*1.16</f>
        <v>985.99999999999989</v>
      </c>
      <c r="O73" s="33">
        <v>5</v>
      </c>
      <c r="P73" s="462">
        <f t="shared" si="11"/>
        <v>16.433333333333334</v>
      </c>
      <c r="Q73" s="5">
        <v>476.56666666666666</v>
      </c>
      <c r="R73" s="462">
        <f t="shared" si="7"/>
        <v>657.33333333333337</v>
      </c>
      <c r="S73" s="15">
        <f t="shared" si="8"/>
        <v>180.76666666666671</v>
      </c>
      <c r="T73" s="462">
        <f t="shared" si="9"/>
        <v>328.66666666666652</v>
      </c>
      <c r="U73" s="447">
        <v>17316</v>
      </c>
      <c r="W73" s="44">
        <f t="shared" si="10"/>
        <v>40</v>
      </c>
    </row>
    <row r="74" spans="1:23" s="447" customFormat="1" ht="15.75" x14ac:dyDescent="0.25">
      <c r="B74" s="33" t="s">
        <v>2558</v>
      </c>
      <c r="F74" s="447" t="s">
        <v>2559</v>
      </c>
      <c r="G74" s="477">
        <v>41110</v>
      </c>
      <c r="H74" s="447">
        <v>20</v>
      </c>
      <c r="I74" s="447">
        <v>7</v>
      </c>
      <c r="J74" s="447">
        <v>2012</v>
      </c>
      <c r="K74" s="33" t="s">
        <v>539</v>
      </c>
      <c r="L74" s="83" t="s">
        <v>2560</v>
      </c>
      <c r="M74" s="33" t="s">
        <v>2513</v>
      </c>
      <c r="N74" s="474">
        <f>850*1.16</f>
        <v>985.99999999999989</v>
      </c>
      <c r="O74" s="33">
        <v>5</v>
      </c>
      <c r="P74" s="462">
        <f t="shared" si="11"/>
        <v>16.433333333333334</v>
      </c>
      <c r="Q74" s="5">
        <v>476.56666666666666</v>
      </c>
      <c r="R74" s="462">
        <f t="shared" si="7"/>
        <v>657.33333333333337</v>
      </c>
      <c r="S74" s="15">
        <f t="shared" si="8"/>
        <v>180.76666666666671</v>
      </c>
      <c r="T74" s="462">
        <f t="shared" si="9"/>
        <v>328.66666666666652</v>
      </c>
      <c r="U74" s="447">
        <v>17316</v>
      </c>
      <c r="W74" s="44">
        <f t="shared" si="10"/>
        <v>40</v>
      </c>
    </row>
    <row r="75" spans="1:23" s="447" customFormat="1" ht="15.75" x14ac:dyDescent="0.25">
      <c r="B75" s="33" t="s">
        <v>2558</v>
      </c>
      <c r="F75" s="447" t="s">
        <v>2559</v>
      </c>
      <c r="G75" s="477">
        <v>41110</v>
      </c>
      <c r="H75" s="447">
        <v>20</v>
      </c>
      <c r="I75" s="447">
        <v>7</v>
      </c>
      <c r="J75" s="447">
        <v>2012</v>
      </c>
      <c r="K75" s="33" t="s">
        <v>539</v>
      </c>
      <c r="L75" s="83" t="s">
        <v>2560</v>
      </c>
      <c r="M75" s="33" t="s">
        <v>2513</v>
      </c>
      <c r="N75" s="474">
        <f>850*1.16</f>
        <v>985.99999999999989</v>
      </c>
      <c r="O75" s="33">
        <v>5</v>
      </c>
      <c r="P75" s="462">
        <f t="shared" si="11"/>
        <v>16.433333333333334</v>
      </c>
      <c r="Q75" s="5">
        <v>476.56666666666666</v>
      </c>
      <c r="R75" s="462">
        <f t="shared" si="7"/>
        <v>657.33333333333337</v>
      </c>
      <c r="S75" s="15">
        <f t="shared" si="8"/>
        <v>180.76666666666671</v>
      </c>
      <c r="T75" s="462">
        <f t="shared" si="9"/>
        <v>328.66666666666652</v>
      </c>
      <c r="U75" s="447">
        <v>17316</v>
      </c>
      <c r="W75" s="44">
        <f t="shared" si="10"/>
        <v>40</v>
      </c>
    </row>
    <row r="76" spans="1:23" s="447" customFormat="1" ht="15.75" x14ac:dyDescent="0.25">
      <c r="B76" s="33" t="s">
        <v>2558</v>
      </c>
      <c r="F76" s="447" t="s">
        <v>2559</v>
      </c>
      <c r="G76" s="477">
        <v>41110</v>
      </c>
      <c r="H76" s="447">
        <v>20</v>
      </c>
      <c r="I76" s="447">
        <v>7</v>
      </c>
      <c r="J76" s="447">
        <v>2012</v>
      </c>
      <c r="K76" s="33" t="s">
        <v>539</v>
      </c>
      <c r="L76" s="83" t="s">
        <v>2560</v>
      </c>
      <c r="M76" s="33" t="s">
        <v>2513</v>
      </c>
      <c r="N76" s="474">
        <f>850*1.16</f>
        <v>985.99999999999989</v>
      </c>
      <c r="O76" s="33">
        <v>5</v>
      </c>
      <c r="P76" s="462">
        <f t="shared" si="11"/>
        <v>16.433333333333334</v>
      </c>
      <c r="Q76" s="5">
        <v>476.56666666666666</v>
      </c>
      <c r="R76" s="462">
        <f t="shared" si="7"/>
        <v>657.33333333333337</v>
      </c>
      <c r="S76" s="15">
        <f t="shared" si="8"/>
        <v>180.76666666666671</v>
      </c>
      <c r="T76" s="462">
        <f t="shared" si="9"/>
        <v>328.66666666666652</v>
      </c>
      <c r="U76" s="447">
        <v>17316</v>
      </c>
      <c r="W76" s="44">
        <f t="shared" si="10"/>
        <v>40</v>
      </c>
    </row>
    <row r="77" spans="1:23" s="447" customFormat="1" ht="15.75" x14ac:dyDescent="0.25">
      <c r="B77" s="33" t="s">
        <v>2561</v>
      </c>
      <c r="F77" s="447" t="s">
        <v>2559</v>
      </c>
      <c r="G77" s="477">
        <v>41110</v>
      </c>
      <c r="H77" s="447">
        <v>20</v>
      </c>
      <c r="I77" s="447">
        <v>7</v>
      </c>
      <c r="J77" s="447">
        <v>2012</v>
      </c>
      <c r="K77" s="33" t="s">
        <v>539</v>
      </c>
      <c r="L77" s="83" t="s">
        <v>2560</v>
      </c>
      <c r="M77" s="33" t="s">
        <v>2513</v>
      </c>
      <c r="N77" s="474">
        <f t="shared" ref="N77:N82" si="12">1200*1.16</f>
        <v>1392</v>
      </c>
      <c r="O77" s="33">
        <v>5</v>
      </c>
      <c r="P77" s="462">
        <f t="shared" si="11"/>
        <v>23.2</v>
      </c>
      <c r="Q77" s="5">
        <v>672.8</v>
      </c>
      <c r="R77" s="462">
        <f t="shared" si="7"/>
        <v>928</v>
      </c>
      <c r="S77" s="15">
        <f t="shared" si="8"/>
        <v>255.20000000000005</v>
      </c>
      <c r="T77" s="462">
        <f t="shared" si="9"/>
        <v>464</v>
      </c>
      <c r="U77" s="447">
        <v>17316</v>
      </c>
      <c r="W77" s="44">
        <f t="shared" si="10"/>
        <v>40</v>
      </c>
    </row>
    <row r="78" spans="1:23" s="447" customFormat="1" ht="15.75" x14ac:dyDescent="0.25">
      <c r="B78" s="33" t="s">
        <v>2561</v>
      </c>
      <c r="F78" s="447" t="s">
        <v>2559</v>
      </c>
      <c r="G78" s="477">
        <v>41110</v>
      </c>
      <c r="H78" s="447">
        <v>20</v>
      </c>
      <c r="I78" s="447">
        <v>7</v>
      </c>
      <c r="J78" s="447">
        <v>2012</v>
      </c>
      <c r="K78" s="33" t="s">
        <v>539</v>
      </c>
      <c r="L78" s="83" t="s">
        <v>2560</v>
      </c>
      <c r="M78" s="33" t="s">
        <v>2513</v>
      </c>
      <c r="N78" s="474">
        <f t="shared" si="12"/>
        <v>1392</v>
      </c>
      <c r="O78" s="33">
        <v>5</v>
      </c>
      <c r="P78" s="462">
        <f t="shared" si="11"/>
        <v>23.2</v>
      </c>
      <c r="Q78" s="5">
        <v>672.8</v>
      </c>
      <c r="R78" s="462">
        <f t="shared" si="7"/>
        <v>928</v>
      </c>
      <c r="S78" s="15">
        <f t="shared" si="8"/>
        <v>255.20000000000005</v>
      </c>
      <c r="T78" s="462">
        <f t="shared" si="9"/>
        <v>464</v>
      </c>
      <c r="U78" s="447">
        <v>17316</v>
      </c>
      <c r="W78" s="44">
        <f t="shared" si="10"/>
        <v>40</v>
      </c>
    </row>
    <row r="79" spans="1:23" s="447" customFormat="1" ht="15.75" x14ac:dyDescent="0.25">
      <c r="B79" s="33" t="s">
        <v>2561</v>
      </c>
      <c r="F79" s="447" t="s">
        <v>2559</v>
      </c>
      <c r="G79" s="477">
        <v>41110</v>
      </c>
      <c r="H79" s="447">
        <v>20</v>
      </c>
      <c r="I79" s="447">
        <v>7</v>
      </c>
      <c r="J79" s="447">
        <v>2012</v>
      </c>
      <c r="K79" s="33" t="s">
        <v>539</v>
      </c>
      <c r="L79" s="83" t="s">
        <v>2560</v>
      </c>
      <c r="M79" s="33" t="s">
        <v>2513</v>
      </c>
      <c r="N79" s="474">
        <f t="shared" si="12"/>
        <v>1392</v>
      </c>
      <c r="O79" s="33">
        <v>5</v>
      </c>
      <c r="P79" s="462">
        <f t="shared" si="11"/>
        <v>23.2</v>
      </c>
      <c r="Q79" s="5">
        <v>672.8</v>
      </c>
      <c r="R79" s="462">
        <f t="shared" si="7"/>
        <v>928</v>
      </c>
      <c r="S79" s="15">
        <f t="shared" si="8"/>
        <v>255.20000000000005</v>
      </c>
      <c r="T79" s="462">
        <f t="shared" si="9"/>
        <v>464</v>
      </c>
      <c r="U79" s="447">
        <v>17316</v>
      </c>
      <c r="W79" s="44">
        <f t="shared" si="10"/>
        <v>40</v>
      </c>
    </row>
    <row r="80" spans="1:23" s="447" customFormat="1" ht="15.75" x14ac:dyDescent="0.25">
      <c r="B80" s="33" t="s">
        <v>2561</v>
      </c>
      <c r="F80" s="447" t="s">
        <v>2559</v>
      </c>
      <c r="G80" s="477">
        <v>41110</v>
      </c>
      <c r="H80" s="447">
        <v>20</v>
      </c>
      <c r="I80" s="447">
        <v>7</v>
      </c>
      <c r="J80" s="447">
        <v>2012</v>
      </c>
      <c r="K80" s="33" t="s">
        <v>539</v>
      </c>
      <c r="L80" s="83" t="s">
        <v>2560</v>
      </c>
      <c r="M80" s="33" t="s">
        <v>2513</v>
      </c>
      <c r="N80" s="474">
        <f t="shared" si="12"/>
        <v>1392</v>
      </c>
      <c r="O80" s="33">
        <v>5</v>
      </c>
      <c r="P80" s="462">
        <f t="shared" si="11"/>
        <v>23.2</v>
      </c>
      <c r="Q80" s="5">
        <v>672.8</v>
      </c>
      <c r="R80" s="462">
        <f t="shared" si="7"/>
        <v>928</v>
      </c>
      <c r="S80" s="15">
        <f t="shared" si="8"/>
        <v>255.20000000000005</v>
      </c>
      <c r="T80" s="462">
        <f t="shared" si="9"/>
        <v>464</v>
      </c>
      <c r="U80" s="447">
        <v>17316</v>
      </c>
      <c r="W80" s="44">
        <f t="shared" si="10"/>
        <v>40</v>
      </c>
    </row>
    <row r="81" spans="1:23" s="447" customFormat="1" ht="15.75" x14ac:dyDescent="0.25">
      <c r="B81" s="33" t="s">
        <v>2561</v>
      </c>
      <c r="F81" s="447" t="s">
        <v>2559</v>
      </c>
      <c r="G81" s="477">
        <v>41110</v>
      </c>
      <c r="H81" s="447">
        <v>20</v>
      </c>
      <c r="I81" s="447">
        <v>7</v>
      </c>
      <c r="J81" s="447">
        <v>2012</v>
      </c>
      <c r="K81" s="33" t="s">
        <v>539</v>
      </c>
      <c r="L81" s="83" t="s">
        <v>2560</v>
      </c>
      <c r="M81" s="33" t="s">
        <v>2513</v>
      </c>
      <c r="N81" s="474">
        <f t="shared" si="12"/>
        <v>1392</v>
      </c>
      <c r="O81" s="33">
        <v>5</v>
      </c>
      <c r="P81" s="462">
        <f t="shared" si="11"/>
        <v>23.2</v>
      </c>
      <c r="Q81" s="5">
        <v>672.8</v>
      </c>
      <c r="R81" s="462">
        <f t="shared" si="7"/>
        <v>928</v>
      </c>
      <c r="S81" s="15">
        <f t="shared" si="8"/>
        <v>255.20000000000005</v>
      </c>
      <c r="T81" s="462">
        <f t="shared" si="9"/>
        <v>464</v>
      </c>
      <c r="U81" s="447">
        <v>17316</v>
      </c>
      <c r="W81" s="44">
        <f t="shared" si="10"/>
        <v>40</v>
      </c>
    </row>
    <row r="82" spans="1:23" s="447" customFormat="1" ht="15.75" x14ac:dyDescent="0.25">
      <c r="B82" s="33" t="s">
        <v>2561</v>
      </c>
      <c r="F82" s="447" t="s">
        <v>2559</v>
      </c>
      <c r="G82" s="477">
        <v>41110</v>
      </c>
      <c r="H82" s="447">
        <v>20</v>
      </c>
      <c r="I82" s="447">
        <v>7</v>
      </c>
      <c r="J82" s="447">
        <v>2012</v>
      </c>
      <c r="K82" s="33" t="s">
        <v>539</v>
      </c>
      <c r="L82" s="83" t="s">
        <v>2560</v>
      </c>
      <c r="M82" s="33" t="s">
        <v>2513</v>
      </c>
      <c r="N82" s="474">
        <f t="shared" si="12"/>
        <v>1392</v>
      </c>
      <c r="O82" s="33">
        <v>5</v>
      </c>
      <c r="P82" s="462">
        <f t="shared" si="11"/>
        <v>23.2</v>
      </c>
      <c r="Q82" s="5">
        <v>672.8</v>
      </c>
      <c r="R82" s="462">
        <f t="shared" si="7"/>
        <v>928</v>
      </c>
      <c r="S82" s="15">
        <f t="shared" si="8"/>
        <v>255.20000000000005</v>
      </c>
      <c r="T82" s="462">
        <f t="shared" si="9"/>
        <v>464</v>
      </c>
      <c r="U82" s="447">
        <v>17316</v>
      </c>
      <c r="W82" s="44">
        <f t="shared" si="10"/>
        <v>40</v>
      </c>
    </row>
    <row r="83" spans="1:23" s="447" customFormat="1" ht="15.75" x14ac:dyDescent="0.25">
      <c r="B83" s="33" t="s">
        <v>2562</v>
      </c>
      <c r="F83" s="447" t="s">
        <v>2559</v>
      </c>
      <c r="G83" s="477">
        <v>41110</v>
      </c>
      <c r="H83" s="447">
        <v>20</v>
      </c>
      <c r="I83" s="447">
        <v>7</v>
      </c>
      <c r="J83" s="447">
        <v>2012</v>
      </c>
      <c r="K83" s="33" t="s">
        <v>539</v>
      </c>
      <c r="L83" s="83" t="s">
        <v>2560</v>
      </c>
      <c r="M83" s="33" t="s">
        <v>2513</v>
      </c>
      <c r="N83" s="474">
        <f>6900*1.16</f>
        <v>8003.9999999999991</v>
      </c>
      <c r="O83" s="33">
        <v>5</v>
      </c>
      <c r="P83" s="462">
        <f t="shared" si="11"/>
        <v>133.39999999999998</v>
      </c>
      <c r="Q83" s="5">
        <v>3868.5999999999995</v>
      </c>
      <c r="R83" s="462">
        <f t="shared" si="7"/>
        <v>5335.9999999999991</v>
      </c>
      <c r="S83" s="15">
        <f t="shared" si="8"/>
        <v>1467.3999999999996</v>
      </c>
      <c r="T83" s="462">
        <f t="shared" si="9"/>
        <v>2668</v>
      </c>
      <c r="U83" s="447">
        <v>17316</v>
      </c>
      <c r="W83" s="44">
        <f t="shared" si="10"/>
        <v>40</v>
      </c>
    </row>
    <row r="84" spans="1:23" s="447" customFormat="1" ht="15.75" x14ac:dyDescent="0.25">
      <c r="B84" s="33" t="s">
        <v>2562</v>
      </c>
      <c r="F84" s="447" t="s">
        <v>2559</v>
      </c>
      <c r="G84" s="477">
        <v>41110</v>
      </c>
      <c r="H84" s="447">
        <v>20</v>
      </c>
      <c r="I84" s="447">
        <v>7</v>
      </c>
      <c r="J84" s="447">
        <v>2012</v>
      </c>
      <c r="K84" s="33" t="s">
        <v>539</v>
      </c>
      <c r="L84" s="83" t="s">
        <v>2560</v>
      </c>
      <c r="M84" s="33" t="s">
        <v>2513</v>
      </c>
      <c r="N84" s="474">
        <f>6900*1.16</f>
        <v>8003.9999999999991</v>
      </c>
      <c r="O84" s="33">
        <v>5</v>
      </c>
      <c r="P84" s="462">
        <f t="shared" si="11"/>
        <v>133.39999999999998</v>
      </c>
      <c r="Q84" s="5">
        <v>3868.5999999999995</v>
      </c>
      <c r="R84" s="462">
        <f t="shared" si="7"/>
        <v>5335.9999999999991</v>
      </c>
      <c r="S84" s="15">
        <f t="shared" si="8"/>
        <v>1467.3999999999996</v>
      </c>
      <c r="T84" s="462">
        <f t="shared" si="9"/>
        <v>2668</v>
      </c>
      <c r="U84" s="447">
        <v>17316</v>
      </c>
      <c r="W84" s="44">
        <f t="shared" si="10"/>
        <v>40</v>
      </c>
    </row>
    <row r="85" spans="1:23" s="447" customFormat="1" ht="15.75" x14ac:dyDescent="0.25">
      <c r="B85" s="33" t="s">
        <v>2562</v>
      </c>
      <c r="F85" s="447" t="s">
        <v>2559</v>
      </c>
      <c r="G85" s="477">
        <v>41110</v>
      </c>
      <c r="H85" s="447">
        <v>20</v>
      </c>
      <c r="I85" s="447">
        <v>7</v>
      </c>
      <c r="J85" s="447">
        <v>2012</v>
      </c>
      <c r="K85" s="33" t="s">
        <v>539</v>
      </c>
      <c r="L85" s="83" t="s">
        <v>2560</v>
      </c>
      <c r="M85" s="33" t="s">
        <v>2513</v>
      </c>
      <c r="N85" s="474">
        <f>6900*1.16</f>
        <v>8003.9999999999991</v>
      </c>
      <c r="O85" s="33">
        <v>5</v>
      </c>
      <c r="P85" s="462">
        <f t="shared" si="11"/>
        <v>133.39999999999998</v>
      </c>
      <c r="Q85" s="5">
        <v>3868.5999999999995</v>
      </c>
      <c r="R85" s="462">
        <f t="shared" si="7"/>
        <v>5335.9999999999991</v>
      </c>
      <c r="S85" s="15">
        <f t="shared" si="8"/>
        <v>1467.3999999999996</v>
      </c>
      <c r="T85" s="462">
        <f t="shared" si="9"/>
        <v>2668</v>
      </c>
      <c r="U85" s="447">
        <v>17316</v>
      </c>
      <c r="W85" s="44">
        <f t="shared" si="10"/>
        <v>40</v>
      </c>
    </row>
    <row r="86" spans="1:23" s="447" customFormat="1" ht="15.75" x14ac:dyDescent="0.25">
      <c r="B86" s="33" t="s">
        <v>2562</v>
      </c>
      <c r="F86" s="447" t="s">
        <v>2559</v>
      </c>
      <c r="G86" s="477">
        <v>41110</v>
      </c>
      <c r="H86" s="447">
        <v>20</v>
      </c>
      <c r="I86" s="447">
        <v>7</v>
      </c>
      <c r="J86" s="447">
        <v>2012</v>
      </c>
      <c r="K86" s="33" t="s">
        <v>539</v>
      </c>
      <c r="L86" s="83" t="s">
        <v>2560</v>
      </c>
      <c r="M86" s="33" t="s">
        <v>2513</v>
      </c>
      <c r="N86" s="474">
        <f>6900*1.16</f>
        <v>8003.9999999999991</v>
      </c>
      <c r="O86" s="33">
        <v>5</v>
      </c>
      <c r="P86" s="462">
        <f t="shared" si="11"/>
        <v>133.39999999999998</v>
      </c>
      <c r="Q86" s="5">
        <v>3868.5999999999995</v>
      </c>
      <c r="R86" s="462">
        <f t="shared" si="7"/>
        <v>5335.9999999999991</v>
      </c>
      <c r="S86" s="15">
        <f t="shared" si="8"/>
        <v>1467.3999999999996</v>
      </c>
      <c r="T86" s="462">
        <f t="shared" si="9"/>
        <v>2668</v>
      </c>
      <c r="U86" s="447">
        <v>17316</v>
      </c>
      <c r="W86" s="44">
        <f t="shared" si="10"/>
        <v>40</v>
      </c>
    </row>
    <row r="87" spans="1:23" s="447" customFormat="1" ht="15.75" x14ac:dyDescent="0.25">
      <c r="B87" s="33" t="s">
        <v>2563</v>
      </c>
      <c r="F87" s="447" t="s">
        <v>2559</v>
      </c>
      <c r="G87" s="477">
        <v>41110</v>
      </c>
      <c r="H87" s="447">
        <v>20</v>
      </c>
      <c r="I87" s="447">
        <v>7</v>
      </c>
      <c r="J87" s="447">
        <v>2012</v>
      </c>
      <c r="K87" s="33" t="s">
        <v>539</v>
      </c>
      <c r="L87" s="83" t="s">
        <v>2560</v>
      </c>
      <c r="M87" s="33" t="s">
        <v>2513</v>
      </c>
      <c r="N87" s="474">
        <f>6100*1.16</f>
        <v>7075.9999999999991</v>
      </c>
      <c r="O87" s="33">
        <v>5</v>
      </c>
      <c r="P87" s="462">
        <f t="shared" si="11"/>
        <v>117.93333333333332</v>
      </c>
      <c r="Q87" s="5">
        <v>3420.0666666666662</v>
      </c>
      <c r="R87" s="462">
        <f t="shared" si="7"/>
        <v>4717.333333333333</v>
      </c>
      <c r="S87" s="15">
        <f t="shared" si="8"/>
        <v>1297.2666666666669</v>
      </c>
      <c r="T87" s="462">
        <f t="shared" si="9"/>
        <v>2358.6666666666661</v>
      </c>
      <c r="U87" s="447">
        <v>17316</v>
      </c>
      <c r="W87" s="44">
        <f t="shared" si="10"/>
        <v>40</v>
      </c>
    </row>
    <row r="88" spans="1:23" s="447" customFormat="1" ht="15.75" x14ac:dyDescent="0.25">
      <c r="B88" s="33" t="s">
        <v>2563</v>
      </c>
      <c r="F88" s="447" t="s">
        <v>2559</v>
      </c>
      <c r="G88" s="477">
        <v>41110</v>
      </c>
      <c r="H88" s="447">
        <v>20</v>
      </c>
      <c r="I88" s="447">
        <v>7</v>
      </c>
      <c r="J88" s="447">
        <v>2012</v>
      </c>
      <c r="K88" s="33" t="s">
        <v>539</v>
      </c>
      <c r="L88" s="83" t="s">
        <v>2560</v>
      </c>
      <c r="M88" s="33" t="s">
        <v>2513</v>
      </c>
      <c r="N88" s="474">
        <f>6100*1.16</f>
        <v>7075.9999999999991</v>
      </c>
      <c r="O88" s="33">
        <v>5</v>
      </c>
      <c r="P88" s="462">
        <f t="shared" si="11"/>
        <v>117.93333333333332</v>
      </c>
      <c r="Q88" s="5">
        <v>3420.0666666666662</v>
      </c>
      <c r="R88" s="462">
        <f t="shared" si="7"/>
        <v>4717.333333333333</v>
      </c>
      <c r="S88" s="15">
        <f t="shared" si="8"/>
        <v>1297.2666666666669</v>
      </c>
      <c r="T88" s="462">
        <f t="shared" si="9"/>
        <v>2358.6666666666661</v>
      </c>
      <c r="U88" s="447">
        <v>17316</v>
      </c>
      <c r="W88" s="44">
        <f t="shared" si="10"/>
        <v>40</v>
      </c>
    </row>
    <row r="89" spans="1:23" s="447" customFormat="1" ht="15.75" x14ac:dyDescent="0.25">
      <c r="B89" s="33" t="s">
        <v>2563</v>
      </c>
      <c r="F89" s="447" t="s">
        <v>2559</v>
      </c>
      <c r="G89" s="477">
        <v>41110</v>
      </c>
      <c r="H89" s="447">
        <v>20</v>
      </c>
      <c r="I89" s="447">
        <v>7</v>
      </c>
      <c r="J89" s="447">
        <v>2012</v>
      </c>
      <c r="K89" s="33" t="s">
        <v>539</v>
      </c>
      <c r="L89" s="83" t="s">
        <v>2560</v>
      </c>
      <c r="M89" s="33" t="s">
        <v>2513</v>
      </c>
      <c r="N89" s="474">
        <f>6100*1.16</f>
        <v>7075.9999999999991</v>
      </c>
      <c r="O89" s="33">
        <v>5</v>
      </c>
      <c r="P89" s="462">
        <f t="shared" si="11"/>
        <v>117.93333333333332</v>
      </c>
      <c r="Q89" s="5">
        <v>3420.0666666666662</v>
      </c>
      <c r="R89" s="462">
        <f t="shared" si="7"/>
        <v>4717.333333333333</v>
      </c>
      <c r="S89" s="15">
        <f t="shared" si="8"/>
        <v>1297.2666666666669</v>
      </c>
      <c r="T89" s="462">
        <f t="shared" si="9"/>
        <v>2358.6666666666661</v>
      </c>
      <c r="U89" s="447">
        <v>17316</v>
      </c>
      <c r="W89" s="44">
        <f t="shared" si="10"/>
        <v>40</v>
      </c>
    </row>
    <row r="90" spans="1:23" s="447" customFormat="1" ht="15.75" x14ac:dyDescent="0.25">
      <c r="B90" s="33" t="s">
        <v>2563</v>
      </c>
      <c r="F90" s="447" t="s">
        <v>2559</v>
      </c>
      <c r="G90" s="477">
        <v>41110</v>
      </c>
      <c r="H90" s="447">
        <v>20</v>
      </c>
      <c r="I90" s="447">
        <v>7</v>
      </c>
      <c r="J90" s="447">
        <v>2012</v>
      </c>
      <c r="K90" s="33" t="s">
        <v>539</v>
      </c>
      <c r="L90" s="83" t="s">
        <v>2560</v>
      </c>
      <c r="M90" s="33" t="s">
        <v>2513</v>
      </c>
      <c r="N90" s="474">
        <f>6100*1.16</f>
        <v>7075.9999999999991</v>
      </c>
      <c r="O90" s="33">
        <v>5</v>
      </c>
      <c r="P90" s="462">
        <f t="shared" si="11"/>
        <v>117.93333333333332</v>
      </c>
      <c r="Q90" s="5">
        <v>3420.0666666666662</v>
      </c>
      <c r="R90" s="462">
        <f t="shared" si="7"/>
        <v>4717.333333333333</v>
      </c>
      <c r="S90" s="15">
        <f t="shared" si="8"/>
        <v>1297.2666666666669</v>
      </c>
      <c r="T90" s="462">
        <f t="shared" si="9"/>
        <v>2358.6666666666661</v>
      </c>
      <c r="U90" s="447">
        <v>17316</v>
      </c>
      <c r="W90" s="44">
        <f t="shared" si="10"/>
        <v>40</v>
      </c>
    </row>
    <row r="91" spans="1:23" s="447" customFormat="1" ht="15.75" x14ac:dyDescent="0.25">
      <c r="B91" s="33"/>
      <c r="G91" s="477"/>
      <c r="K91" s="33"/>
      <c r="L91" s="83"/>
      <c r="M91" s="33"/>
      <c r="N91" s="471">
        <f>SUM(N69:N90)</f>
        <v>134502</v>
      </c>
      <c r="O91" s="55"/>
      <c r="P91" s="473">
        <f>SUM(P69:P90)</f>
        <v>2241.7000000000012</v>
      </c>
      <c r="Q91" s="473">
        <v>65009.299999999996</v>
      </c>
      <c r="R91" s="473">
        <f>SUM(R69:R90)</f>
        <v>89667.999999999985</v>
      </c>
      <c r="S91" s="473">
        <f>SUM(S69:S90)</f>
        <v>24658.700000000004</v>
      </c>
      <c r="T91" s="473">
        <f>SUM(T69:T90)</f>
        <v>44834</v>
      </c>
      <c r="U91" s="478"/>
      <c r="W91" s="44"/>
    </row>
    <row r="92" spans="1:23" s="447" customFormat="1" ht="15.75" x14ac:dyDescent="0.25">
      <c r="B92" s="33"/>
      <c r="L92" s="83"/>
      <c r="N92" s="474"/>
      <c r="P92" s="462"/>
      <c r="Q92" s="462"/>
      <c r="R92" s="462"/>
      <c r="S92" s="462"/>
      <c r="T92" s="462"/>
      <c r="W92" s="44"/>
    </row>
    <row r="93" spans="1:23" s="452" customFormat="1" ht="16.5" thickBot="1" x14ac:dyDescent="0.3">
      <c r="A93" s="105" t="s">
        <v>2759</v>
      </c>
      <c r="L93" s="468"/>
      <c r="N93" s="479">
        <f>+N67+N91</f>
        <v>904325.46000000008</v>
      </c>
      <c r="P93" s="479">
        <f>+P67+P91</f>
        <v>2871.8263333333343</v>
      </c>
      <c r="Q93" s="479">
        <v>824700.73866666702</v>
      </c>
      <c r="R93" s="479">
        <f>+R67+R91</f>
        <v>856290.82833333348</v>
      </c>
      <c r="S93" s="479">
        <f>+S67+S91</f>
        <v>31590.089666666674</v>
      </c>
      <c r="T93" s="479">
        <f>+T67+T91</f>
        <v>48034.631666666624</v>
      </c>
      <c r="W93" s="44"/>
    </row>
    <row r="94" spans="1:23" s="447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73" zoomScaleNormal="100" workbookViewId="0">
      <selection activeCell="S92" sqref="S9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80" customWidth="1"/>
    <col min="4" max="4" width="14.42578125" style="480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92" customWidth="1"/>
    <col min="15" max="16" width="14.7109375" style="525" customWidth="1"/>
    <col min="17" max="18" width="15.140625" style="524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9" customFormat="1" ht="18.7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22" s="78" customFormat="1" ht="15.75" x14ac:dyDescent="0.25">
      <c r="A2" s="679" t="s">
        <v>2573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2" x14ac:dyDescent="0.2">
      <c r="A3" s="676" t="str">
        <f>'Equipos de Producción'!A3:S3</f>
        <v>(Al 30 de Noviembre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500"/>
      <c r="U3" s="500"/>
    </row>
    <row r="4" spans="1:22" s="503" customFormat="1" ht="15.75" x14ac:dyDescent="0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626"/>
      <c r="O4" s="501"/>
      <c r="P4" s="501"/>
      <c r="Q4" s="502"/>
      <c r="R4" s="502"/>
    </row>
    <row r="5" spans="1:22" s="1" customFormat="1" x14ac:dyDescent="0.2">
      <c r="C5" s="39"/>
      <c r="D5" s="39"/>
      <c r="N5" s="513"/>
      <c r="O5" s="504"/>
      <c r="P5" s="504"/>
      <c r="Q5" s="505"/>
      <c r="R5" s="505"/>
      <c r="V5" s="121">
        <f>'Equipos Médicos'!W5</f>
        <v>42338</v>
      </c>
    </row>
    <row r="6" spans="1:22" ht="15.75" x14ac:dyDescent="0.25">
      <c r="A6" s="506"/>
      <c r="O6" s="662" t="s">
        <v>3</v>
      </c>
      <c r="P6" s="663"/>
      <c r="Q6" s="663"/>
      <c r="R6" s="664"/>
      <c r="V6" s="45"/>
    </row>
    <row r="7" spans="1:22" s="507" customFormat="1" ht="63" x14ac:dyDescent="0.25">
      <c r="A7" s="607" t="s">
        <v>2574</v>
      </c>
      <c r="B7" s="607" t="s">
        <v>2575</v>
      </c>
      <c r="C7" s="607" t="s">
        <v>8</v>
      </c>
      <c r="D7" s="607" t="s">
        <v>9</v>
      </c>
      <c r="E7" s="607" t="s">
        <v>11</v>
      </c>
      <c r="F7" s="607" t="s">
        <v>2576</v>
      </c>
      <c r="G7" s="607" t="s">
        <v>13</v>
      </c>
      <c r="H7" s="607" t="s">
        <v>14</v>
      </c>
      <c r="I7" s="607" t="s">
        <v>15</v>
      </c>
      <c r="J7" s="607" t="s">
        <v>2577</v>
      </c>
      <c r="K7" s="607" t="s">
        <v>2578</v>
      </c>
      <c r="L7" s="607" t="s">
        <v>2579</v>
      </c>
      <c r="M7" s="624" t="s">
        <v>19</v>
      </c>
      <c r="N7" s="627" t="s">
        <v>2580</v>
      </c>
      <c r="O7" s="625" t="s">
        <v>22</v>
      </c>
      <c r="P7" s="10" t="str">
        <f>+'Equipos de Producción'!$R$6</f>
        <v>Acumulada Dic. 2014</v>
      </c>
      <c r="Q7" s="10" t="str">
        <f>+'Equipos de Producción'!$S$6</f>
        <v>Acumulada Octubre 2015</v>
      </c>
      <c r="R7" s="10" t="str">
        <f>+'Equipos de Producción'!$T$6</f>
        <v>Deprec. a Registrar Octubre 2015</v>
      </c>
      <c r="S7" s="129" t="s">
        <v>24</v>
      </c>
      <c r="V7" s="387" t="s">
        <v>26</v>
      </c>
    </row>
    <row r="8" spans="1:22" s="492" customFormat="1" ht="15.75" x14ac:dyDescent="0.25">
      <c r="B8" s="98" t="s">
        <v>2581</v>
      </c>
      <c r="C8" s="493"/>
      <c r="D8" s="98"/>
      <c r="E8" s="98" t="s">
        <v>2582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2583</v>
      </c>
      <c r="M8" s="5">
        <v>466519.06</v>
      </c>
      <c r="N8" s="103">
        <v>5</v>
      </c>
      <c r="O8" s="5">
        <v>0</v>
      </c>
      <c r="P8" s="5">
        <v>233259.02999999997</v>
      </c>
      <c r="Q8" s="5">
        <v>466498.05999999994</v>
      </c>
      <c r="R8" s="15">
        <f>+Q8-P8</f>
        <v>233239.02999999997</v>
      </c>
      <c r="S8" s="462">
        <f>M8-Q8</f>
        <v>21.000000000058208</v>
      </c>
      <c r="T8" s="512">
        <f>((2011-I8)*12)+(12-H8)+1</f>
        <v>46</v>
      </c>
      <c r="V8" s="44">
        <f>IF((DATEDIF(F8,V$5,"m"))&gt;=60,60,(DATEDIF(F8,V$5,"m")))</f>
        <v>60</v>
      </c>
    </row>
    <row r="9" spans="1:22" s="492" customFormat="1" ht="15.75" x14ac:dyDescent="0.25">
      <c r="B9" s="98" t="s">
        <v>2584</v>
      </c>
      <c r="C9" s="493"/>
      <c r="D9" s="98" t="s">
        <v>2585</v>
      </c>
      <c r="E9" s="98" t="s">
        <v>2582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2583</v>
      </c>
      <c r="M9" s="5">
        <f>50071.12*1.16</f>
        <v>58082.499199999998</v>
      </c>
      <c r="N9" s="103">
        <v>5</v>
      </c>
      <c r="O9" s="5">
        <v>0</v>
      </c>
      <c r="P9" s="5">
        <v>29040.749599999999</v>
      </c>
      <c r="Q9" s="5">
        <v>58081.499199999998</v>
      </c>
      <c r="R9" s="15">
        <f t="shared" ref="R9:R25" si="1">+Q9-P9</f>
        <v>29040.749599999999</v>
      </c>
      <c r="S9" s="462">
        <f t="shared" ref="S9:S25" si="2">M9-Q9</f>
        <v>1</v>
      </c>
      <c r="T9" s="512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92" customFormat="1" ht="15.75" x14ac:dyDescent="0.25">
      <c r="B10" s="98" t="s">
        <v>2586</v>
      </c>
      <c r="C10" s="493"/>
      <c r="D10" s="98" t="s">
        <v>2587</v>
      </c>
      <c r="E10" s="98" t="s">
        <v>2582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2583</v>
      </c>
      <c r="M10" s="5">
        <f>24165.34*1.16</f>
        <v>28031.794399999999</v>
      </c>
      <c r="N10" s="103">
        <v>5</v>
      </c>
      <c r="O10" s="5">
        <v>0</v>
      </c>
      <c r="P10" s="5">
        <v>14015.397200000001</v>
      </c>
      <c r="Q10" s="5">
        <v>28030.794400000002</v>
      </c>
      <c r="R10" s="15">
        <f t="shared" si="1"/>
        <v>14015.397200000001</v>
      </c>
      <c r="S10" s="462">
        <f t="shared" si="2"/>
        <v>0.99999999999636202</v>
      </c>
      <c r="T10" s="512">
        <f t="shared" si="3"/>
        <v>46</v>
      </c>
      <c r="V10" s="44">
        <f t="shared" si="4"/>
        <v>60</v>
      </c>
    </row>
    <row r="11" spans="1:22" s="492" customFormat="1" ht="15.75" x14ac:dyDescent="0.25">
      <c r="B11" s="98" t="s">
        <v>2588</v>
      </c>
      <c r="C11" s="493"/>
      <c r="D11" s="98" t="s">
        <v>2589</v>
      </c>
      <c r="E11" s="98" t="s">
        <v>2582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2583</v>
      </c>
      <c r="M11" s="5">
        <f>52547.9*1.16</f>
        <v>60955.563999999998</v>
      </c>
      <c r="N11" s="103">
        <v>5</v>
      </c>
      <c r="O11" s="5">
        <v>0</v>
      </c>
      <c r="P11" s="5">
        <v>30477.281999999999</v>
      </c>
      <c r="Q11" s="5">
        <v>60954.563999999998</v>
      </c>
      <c r="R11" s="15">
        <f t="shared" si="1"/>
        <v>30477.281999999999</v>
      </c>
      <c r="S11" s="462">
        <f t="shared" si="2"/>
        <v>1</v>
      </c>
      <c r="T11" s="512">
        <f t="shared" si="3"/>
        <v>46</v>
      </c>
      <c r="V11" s="44">
        <f t="shared" si="4"/>
        <v>60</v>
      </c>
    </row>
    <row r="12" spans="1:22" s="492" customFormat="1" ht="15.75" x14ac:dyDescent="0.25">
      <c r="B12" s="98" t="s">
        <v>2590</v>
      </c>
      <c r="C12" s="493"/>
      <c r="D12" s="98">
        <v>10795</v>
      </c>
      <c r="E12" s="98" t="s">
        <v>2582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2583</v>
      </c>
      <c r="M12" s="5">
        <f>2175.55*1.16</f>
        <v>2523.6379999999999</v>
      </c>
      <c r="N12" s="103">
        <v>5</v>
      </c>
      <c r="O12" s="5">
        <v>0</v>
      </c>
      <c r="P12" s="5">
        <v>1261.3190000000002</v>
      </c>
      <c r="Q12" s="5">
        <v>2522.6380000000004</v>
      </c>
      <c r="R12" s="15">
        <f t="shared" si="1"/>
        <v>1261.3190000000002</v>
      </c>
      <c r="S12" s="462">
        <f t="shared" si="2"/>
        <v>0.99999999999954525</v>
      </c>
      <c r="T12" s="512">
        <f t="shared" si="3"/>
        <v>46</v>
      </c>
      <c r="V12" s="44">
        <f t="shared" si="4"/>
        <v>60</v>
      </c>
    </row>
    <row r="13" spans="1:22" s="492" customFormat="1" ht="15.75" x14ac:dyDescent="0.25">
      <c r="B13" s="98" t="s">
        <v>2591</v>
      </c>
      <c r="C13" s="493"/>
      <c r="D13" s="98">
        <v>10796</v>
      </c>
      <c r="E13" s="98" t="s">
        <v>2582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2583</v>
      </c>
      <c r="M13" s="5">
        <f>12216.55*1.16</f>
        <v>14171.197999999999</v>
      </c>
      <c r="N13" s="103">
        <v>5</v>
      </c>
      <c r="O13" s="5">
        <v>0</v>
      </c>
      <c r="P13" s="5">
        <v>7085.0989999999983</v>
      </c>
      <c r="Q13" s="5">
        <v>14170.197999999997</v>
      </c>
      <c r="R13" s="15">
        <f t="shared" si="1"/>
        <v>7085.0989999999983</v>
      </c>
      <c r="S13" s="462">
        <f t="shared" si="2"/>
        <v>1.000000000001819</v>
      </c>
      <c r="T13" s="512">
        <f t="shared" si="3"/>
        <v>46</v>
      </c>
      <c r="V13" s="44">
        <f t="shared" si="4"/>
        <v>60</v>
      </c>
    </row>
    <row r="14" spans="1:22" s="492" customFormat="1" ht="15.75" x14ac:dyDescent="0.25">
      <c r="B14" s="98" t="s">
        <v>2592</v>
      </c>
      <c r="C14" s="493"/>
      <c r="D14" s="98">
        <v>10797</v>
      </c>
      <c r="E14" s="98" t="s">
        <v>2582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2583</v>
      </c>
      <c r="M14" s="5">
        <f>1773.91*1.16</f>
        <v>2057.7356</v>
      </c>
      <c r="N14" s="103">
        <v>5</v>
      </c>
      <c r="O14" s="5">
        <v>0</v>
      </c>
      <c r="P14" s="5">
        <v>1028.3678000000002</v>
      </c>
      <c r="Q14" s="5">
        <v>2056.7356000000004</v>
      </c>
      <c r="R14" s="15">
        <f t="shared" si="1"/>
        <v>1028.3678000000002</v>
      </c>
      <c r="S14" s="462">
        <f t="shared" si="2"/>
        <v>0.99999999999954525</v>
      </c>
      <c r="T14" s="512">
        <f t="shared" si="3"/>
        <v>46</v>
      </c>
      <c r="V14" s="44">
        <f t="shared" si="4"/>
        <v>60</v>
      </c>
    </row>
    <row r="15" spans="1:22" s="492" customFormat="1" ht="15.75" x14ac:dyDescent="0.25">
      <c r="B15" s="98" t="s">
        <v>2586</v>
      </c>
      <c r="C15" s="493"/>
      <c r="D15" s="98" t="s">
        <v>2593</v>
      </c>
      <c r="E15" s="98" t="s">
        <v>2582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2583</v>
      </c>
      <c r="M15" s="5">
        <f>4886.62*1.16</f>
        <v>5668.4791999999998</v>
      </c>
      <c r="N15" s="103">
        <v>5</v>
      </c>
      <c r="O15" s="5">
        <v>0</v>
      </c>
      <c r="P15" s="5">
        <v>2833.7395999999999</v>
      </c>
      <c r="Q15" s="5">
        <v>5667.4791999999998</v>
      </c>
      <c r="R15" s="15">
        <f t="shared" si="1"/>
        <v>2833.7395999999999</v>
      </c>
      <c r="S15" s="462">
        <f t="shared" si="2"/>
        <v>1</v>
      </c>
      <c r="T15" s="512">
        <f t="shared" si="3"/>
        <v>46</v>
      </c>
      <c r="V15" s="44">
        <f t="shared" si="4"/>
        <v>60</v>
      </c>
    </row>
    <row r="16" spans="1:22" s="492" customFormat="1" ht="15.75" x14ac:dyDescent="0.25">
      <c r="B16" s="98" t="s">
        <v>2594</v>
      </c>
      <c r="C16" s="493"/>
      <c r="D16" s="98" t="s">
        <v>2595</v>
      </c>
      <c r="E16" s="98" t="s">
        <v>2582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2583</v>
      </c>
      <c r="M16" s="5">
        <f>1271.86*1.16</f>
        <v>1475.3575999999998</v>
      </c>
      <c r="N16" s="103">
        <v>5</v>
      </c>
      <c r="O16" s="5">
        <v>0</v>
      </c>
      <c r="P16" s="5">
        <v>737.17879999999991</v>
      </c>
      <c r="Q16" s="5">
        <v>1474.3575999999998</v>
      </c>
      <c r="R16" s="15">
        <f t="shared" si="1"/>
        <v>737.17879999999991</v>
      </c>
      <c r="S16" s="462">
        <f t="shared" si="2"/>
        <v>1</v>
      </c>
      <c r="T16" s="512">
        <f t="shared" si="3"/>
        <v>46</v>
      </c>
      <c r="V16" s="44">
        <f t="shared" si="4"/>
        <v>60</v>
      </c>
    </row>
    <row r="17" spans="1:22" s="492" customFormat="1" ht="15.75" x14ac:dyDescent="0.25">
      <c r="B17" s="98" t="s">
        <v>2596</v>
      </c>
      <c r="C17" s="493"/>
      <c r="D17" s="98" t="s">
        <v>2597</v>
      </c>
      <c r="E17" s="98" t="s">
        <v>2582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2583</v>
      </c>
      <c r="M17" s="5">
        <f>9974.06*1.16</f>
        <v>11569.909599999999</v>
      </c>
      <c r="N17" s="103">
        <v>5</v>
      </c>
      <c r="O17" s="5">
        <v>0</v>
      </c>
      <c r="P17" s="5">
        <v>5784.4547999999995</v>
      </c>
      <c r="Q17" s="5">
        <v>11568.909599999999</v>
      </c>
      <c r="R17" s="15">
        <f t="shared" si="1"/>
        <v>5784.4547999999995</v>
      </c>
      <c r="S17" s="462">
        <f t="shared" si="2"/>
        <v>1</v>
      </c>
      <c r="T17" s="512">
        <f t="shared" si="3"/>
        <v>46</v>
      </c>
      <c r="V17" s="44">
        <f t="shared" si="4"/>
        <v>60</v>
      </c>
    </row>
    <row r="18" spans="1:22" s="492" customFormat="1" ht="15.75" x14ac:dyDescent="0.25">
      <c r="B18" s="98" t="s">
        <v>2598</v>
      </c>
      <c r="C18" s="493"/>
      <c r="D18" s="98">
        <v>10798</v>
      </c>
      <c r="E18" s="98" t="s">
        <v>2582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2583</v>
      </c>
      <c r="M18" s="5">
        <f>17170.11*1.16</f>
        <v>19917.327600000001</v>
      </c>
      <c r="N18" s="103">
        <v>5</v>
      </c>
      <c r="O18" s="5">
        <v>0</v>
      </c>
      <c r="P18" s="5">
        <v>9958.1637999999984</v>
      </c>
      <c r="Q18" s="5">
        <v>19916.327599999997</v>
      </c>
      <c r="R18" s="15">
        <f t="shared" si="1"/>
        <v>9958.1637999999984</v>
      </c>
      <c r="S18" s="462">
        <f t="shared" si="2"/>
        <v>1.000000000003638</v>
      </c>
      <c r="T18" s="512">
        <f t="shared" si="3"/>
        <v>46</v>
      </c>
      <c r="V18" s="44">
        <f t="shared" si="4"/>
        <v>60</v>
      </c>
    </row>
    <row r="19" spans="1:22" s="492" customFormat="1" ht="15.75" x14ac:dyDescent="0.25">
      <c r="B19" s="98" t="s">
        <v>2599</v>
      </c>
      <c r="C19" s="493"/>
      <c r="D19" s="98" t="s">
        <v>2600</v>
      </c>
      <c r="E19" s="98" t="s">
        <v>2582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2583</v>
      </c>
      <c r="M19" s="5">
        <f>2008.2*1.16</f>
        <v>2329.5119999999997</v>
      </c>
      <c r="N19" s="103">
        <v>5</v>
      </c>
      <c r="O19" s="5">
        <v>0</v>
      </c>
      <c r="P19" s="5">
        <v>1164.2559999999999</v>
      </c>
      <c r="Q19" s="5">
        <v>2328.5119999999997</v>
      </c>
      <c r="R19" s="15">
        <f t="shared" si="1"/>
        <v>1164.2559999999999</v>
      </c>
      <c r="S19" s="462">
        <f t="shared" si="2"/>
        <v>1</v>
      </c>
      <c r="T19" s="512">
        <f t="shared" si="3"/>
        <v>46</v>
      </c>
      <c r="V19" s="44">
        <f t="shared" si="4"/>
        <v>60</v>
      </c>
    </row>
    <row r="20" spans="1:22" s="492" customFormat="1" ht="15.75" x14ac:dyDescent="0.25">
      <c r="B20" s="98" t="s">
        <v>2601</v>
      </c>
      <c r="C20" s="493"/>
      <c r="D20" s="98">
        <v>10799</v>
      </c>
      <c r="E20" s="98" t="s">
        <v>2582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2583</v>
      </c>
      <c r="M20" s="5">
        <f>4551.92*1.16</f>
        <v>5280.2271999999994</v>
      </c>
      <c r="N20" s="103">
        <v>5</v>
      </c>
      <c r="O20" s="5">
        <v>0</v>
      </c>
      <c r="P20" s="5">
        <v>2639.6135999999997</v>
      </c>
      <c r="Q20" s="5">
        <v>5279.2271999999994</v>
      </c>
      <c r="R20" s="15">
        <f t="shared" si="1"/>
        <v>2639.6135999999997</v>
      </c>
      <c r="S20" s="462">
        <f t="shared" si="2"/>
        <v>1</v>
      </c>
      <c r="T20" s="512">
        <f t="shared" si="3"/>
        <v>46</v>
      </c>
      <c r="V20" s="44">
        <f t="shared" si="4"/>
        <v>60</v>
      </c>
    </row>
    <row r="21" spans="1:22" s="492" customFormat="1" ht="15.75" x14ac:dyDescent="0.25">
      <c r="B21" s="98" t="s">
        <v>2602</v>
      </c>
      <c r="C21" s="493"/>
      <c r="D21" s="98" t="s">
        <v>2603</v>
      </c>
      <c r="E21" s="98" t="s">
        <v>2582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2583</v>
      </c>
      <c r="M21" s="5">
        <f>10803.11*1.16</f>
        <v>12531.607599999999</v>
      </c>
      <c r="N21" s="103">
        <v>5</v>
      </c>
      <c r="O21" s="5">
        <v>0</v>
      </c>
      <c r="P21" s="5">
        <v>6265.3037999999988</v>
      </c>
      <c r="Q21" s="5">
        <v>12530.607599999998</v>
      </c>
      <c r="R21" s="15">
        <f t="shared" si="1"/>
        <v>6265.3037999999988</v>
      </c>
      <c r="S21" s="462">
        <f t="shared" si="2"/>
        <v>1.000000000001819</v>
      </c>
      <c r="T21" s="512">
        <f t="shared" si="3"/>
        <v>46</v>
      </c>
      <c r="V21" s="44">
        <f t="shared" si="4"/>
        <v>60</v>
      </c>
    </row>
    <row r="22" spans="1:22" s="492" customFormat="1" ht="15.75" x14ac:dyDescent="0.25">
      <c r="B22" s="98" t="s">
        <v>2604</v>
      </c>
      <c r="C22" s="493"/>
      <c r="D22" s="98" t="s">
        <v>2605</v>
      </c>
      <c r="E22" s="98" t="s">
        <v>2582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2583</v>
      </c>
      <c r="M22" s="5">
        <f>50037.65*1.16</f>
        <v>58043.673999999999</v>
      </c>
      <c r="N22" s="103">
        <v>5</v>
      </c>
      <c r="O22" s="5">
        <v>0</v>
      </c>
      <c r="P22" s="5">
        <v>29021.337</v>
      </c>
      <c r="Q22" s="5">
        <v>58042.673999999999</v>
      </c>
      <c r="R22" s="15">
        <f t="shared" si="1"/>
        <v>29021.337</v>
      </c>
      <c r="S22" s="462">
        <f t="shared" si="2"/>
        <v>1</v>
      </c>
      <c r="T22" s="512">
        <f t="shared" si="3"/>
        <v>46</v>
      </c>
      <c r="V22" s="44">
        <f t="shared" si="4"/>
        <v>60</v>
      </c>
    </row>
    <row r="23" spans="1:22" s="492" customFormat="1" ht="15.75" x14ac:dyDescent="0.25">
      <c r="B23" s="98" t="s">
        <v>2606</v>
      </c>
      <c r="C23" s="493"/>
      <c r="D23" s="98">
        <v>9771</v>
      </c>
      <c r="E23" s="98" t="s">
        <v>2582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2583</v>
      </c>
      <c r="M23" s="5">
        <f>33309.34*1.16</f>
        <v>38638.834399999992</v>
      </c>
      <c r="N23" s="103">
        <v>5</v>
      </c>
      <c r="O23" s="5">
        <v>0</v>
      </c>
      <c r="P23" s="5">
        <v>19318.917199999996</v>
      </c>
      <c r="Q23" s="5">
        <v>38637.834399999992</v>
      </c>
      <c r="R23" s="15">
        <f t="shared" si="1"/>
        <v>19318.917199999996</v>
      </c>
      <c r="S23" s="462">
        <f t="shared" si="2"/>
        <v>1</v>
      </c>
      <c r="T23" s="512">
        <f t="shared" si="3"/>
        <v>46</v>
      </c>
      <c r="V23" s="44">
        <f t="shared" si="4"/>
        <v>60</v>
      </c>
    </row>
    <row r="24" spans="1:22" s="492" customFormat="1" ht="15.75" x14ac:dyDescent="0.25">
      <c r="B24" s="98" t="s">
        <v>2607</v>
      </c>
      <c r="C24" s="493" t="s">
        <v>716</v>
      </c>
      <c r="D24" s="98"/>
      <c r="E24" s="98" t="s">
        <v>2582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2583</v>
      </c>
      <c r="M24" s="5">
        <f>49200.9*1.16</f>
        <v>57073.043999999994</v>
      </c>
      <c r="N24" s="103">
        <v>5</v>
      </c>
      <c r="O24" s="5">
        <v>0</v>
      </c>
      <c r="P24" s="5">
        <v>28536.021999999997</v>
      </c>
      <c r="Q24" s="5">
        <v>57072.043999999994</v>
      </c>
      <c r="R24" s="15">
        <f t="shared" si="1"/>
        <v>28536.021999999997</v>
      </c>
      <c r="S24" s="462">
        <f t="shared" si="2"/>
        <v>1</v>
      </c>
      <c r="T24" s="512">
        <f t="shared" si="3"/>
        <v>46</v>
      </c>
      <c r="V24" s="44">
        <f t="shared" si="4"/>
        <v>60</v>
      </c>
    </row>
    <row r="25" spans="1:22" s="527" customFormat="1" ht="15.75" x14ac:dyDescent="0.25">
      <c r="B25" s="98" t="s">
        <v>2608</v>
      </c>
      <c r="C25" s="493"/>
      <c r="D25" s="98"/>
      <c r="E25" s="98" t="s">
        <v>2582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2583</v>
      </c>
      <c r="M25" s="5">
        <v>469963.51</v>
      </c>
      <c r="N25" s="103">
        <v>5</v>
      </c>
      <c r="O25" s="5">
        <v>0</v>
      </c>
      <c r="P25" s="5">
        <v>234981.255</v>
      </c>
      <c r="Q25" s="5">
        <v>469962.51</v>
      </c>
      <c r="R25" s="15">
        <f t="shared" si="1"/>
        <v>234981.255</v>
      </c>
      <c r="S25" s="528">
        <f t="shared" si="2"/>
        <v>1</v>
      </c>
      <c r="T25" s="529">
        <f t="shared" si="3"/>
        <v>46</v>
      </c>
      <c r="V25" s="44">
        <f t="shared" si="4"/>
        <v>60</v>
      </c>
    </row>
    <row r="26" spans="1:22" s="514" customFormat="1" ht="16.5" thickBot="1" x14ac:dyDescent="0.3">
      <c r="A26" s="105" t="s">
        <v>2609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12">
        <f>SUM(M8:M25)</f>
        <v>1314832.9723999999</v>
      </c>
      <c r="N26" s="472"/>
      <c r="O26" s="612">
        <f>SUM(O8:O25)</f>
        <v>0</v>
      </c>
      <c r="P26" s="612">
        <v>657407.48619999993</v>
      </c>
      <c r="Q26" s="612">
        <f>SUM(Q8:Q25)</f>
        <v>1314794.9723999999</v>
      </c>
      <c r="R26" s="612">
        <f>SUM(R8:R25)</f>
        <v>657387.48619999993</v>
      </c>
      <c r="S26" s="612">
        <f>SUM(S8:S25)</f>
        <v>38.000000000060936</v>
      </c>
      <c r="V26" s="44"/>
    </row>
    <row r="27" spans="1:22" s="513" customFormat="1" ht="16.5" thickTop="1" x14ac:dyDescent="0.25">
      <c r="C27" s="515"/>
      <c r="D27" s="515"/>
      <c r="M27" s="516"/>
      <c r="O27" s="517"/>
      <c r="P27" s="517"/>
      <c r="Q27" s="516"/>
      <c r="R27" s="516"/>
      <c r="S27" s="517"/>
      <c r="V27" s="44"/>
    </row>
    <row r="28" spans="1:22" s="513" customFormat="1" ht="15.75" x14ac:dyDescent="0.25">
      <c r="C28" s="515"/>
      <c r="D28" s="515"/>
      <c r="O28" s="517"/>
      <c r="P28" s="517"/>
      <c r="Q28" s="516"/>
      <c r="R28" s="516"/>
      <c r="V28" s="44"/>
    </row>
    <row r="29" spans="1:22" s="492" customFormat="1" ht="15.75" x14ac:dyDescent="0.25">
      <c r="B29" s="98" t="s">
        <v>2610</v>
      </c>
      <c r="C29" s="493"/>
      <c r="D29" s="493"/>
      <c r="E29" s="98" t="s">
        <v>2611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2612</v>
      </c>
      <c r="K29" s="40">
        <v>38110</v>
      </c>
      <c r="L29" s="40" t="s">
        <v>2583</v>
      </c>
      <c r="M29" s="5">
        <v>12180</v>
      </c>
      <c r="N29" s="103">
        <v>5</v>
      </c>
      <c r="O29" s="5">
        <v>0</v>
      </c>
      <c r="P29" s="5">
        <v>5480.55</v>
      </c>
      <c r="Q29" s="462">
        <v>12179</v>
      </c>
      <c r="R29" s="15">
        <f t="shared" ref="R29" si="5">+Q29-P29</f>
        <v>6698.45</v>
      </c>
      <c r="S29" s="462">
        <f>M29-Q29</f>
        <v>1</v>
      </c>
      <c r="T29" s="512">
        <f>((2011-I29)*12)+(12-H29)+1</f>
        <v>19</v>
      </c>
      <c r="V29" s="44">
        <f t="shared" si="4"/>
        <v>60</v>
      </c>
    </row>
    <row r="30" spans="1:22" s="518" customFormat="1" ht="15.75" x14ac:dyDescent="0.25">
      <c r="B30" s="98" t="s">
        <v>2613</v>
      </c>
      <c r="C30" s="519"/>
      <c r="D30" s="519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0"/>
    </row>
    <row r="31" spans="1:22" s="492" customFormat="1" ht="16.5" thickBot="1" x14ac:dyDescent="0.3">
      <c r="A31" s="105" t="s">
        <v>2636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12">
        <f>SUM(M29:M30)</f>
        <v>673732</v>
      </c>
      <c r="N31" s="472"/>
      <c r="O31" s="612">
        <f>SUM(O29:O30)</f>
        <v>2203.0100000000002</v>
      </c>
      <c r="P31" s="612">
        <v>650906.69000000006</v>
      </c>
      <c r="Q31" s="612">
        <f>SUM(Q29:Q30)</f>
        <v>659808.15</v>
      </c>
      <c r="R31" s="612">
        <f>SUM(R29:R30)</f>
        <v>8901.46000000001</v>
      </c>
      <c r="S31" s="612">
        <f>SUM(S29:S30)</f>
        <v>13923.849999999977</v>
      </c>
      <c r="T31" s="512"/>
    </row>
    <row r="32" spans="1:22" s="492" customFormat="1" ht="16.5" thickTop="1" x14ac:dyDescent="0.25">
      <c r="C32" s="493"/>
      <c r="D32" s="493"/>
      <c r="M32" s="521"/>
      <c r="N32" s="522"/>
      <c r="O32" s="511"/>
      <c r="P32" s="511"/>
      <c r="Q32" s="510"/>
      <c r="R32" s="510"/>
      <c r="S32" s="511"/>
      <c r="T32" s="512"/>
    </row>
    <row r="33" spans="1:22" s="510" customFormat="1" ht="16.5" thickBot="1" x14ac:dyDescent="0.3">
      <c r="A33" s="22" t="s">
        <v>600</v>
      </c>
      <c r="C33" s="523"/>
      <c r="D33" s="523"/>
      <c r="M33" s="479">
        <f>+M26+M31</f>
        <v>1988564.9723999999</v>
      </c>
      <c r="N33" s="628"/>
      <c r="O33" s="479">
        <f>+O26+O31</f>
        <v>2203.0100000000002</v>
      </c>
      <c r="P33" s="479">
        <v>1308314.1762000001</v>
      </c>
      <c r="Q33" s="479">
        <f>+Q26+Q31</f>
        <v>1974603.1223999998</v>
      </c>
      <c r="R33" s="479">
        <f>+R26+R31</f>
        <v>666288.94619999989</v>
      </c>
      <c r="S33" s="479">
        <f>+S26+S31</f>
        <v>13961.850000000039</v>
      </c>
    </row>
    <row r="34" spans="1:22" s="492" customFormat="1" ht="13.5" thickTop="1" x14ac:dyDescent="0.2">
      <c r="C34" s="493"/>
      <c r="D34" s="493"/>
      <c r="O34" s="511"/>
      <c r="P34" s="511"/>
      <c r="Q34" s="510"/>
      <c r="R34" s="510"/>
    </row>
    <row r="35" spans="1:22" s="492" customFormat="1" x14ac:dyDescent="0.2">
      <c r="C35" s="493"/>
      <c r="D35" s="493"/>
      <c r="O35" s="511"/>
      <c r="P35" s="511"/>
      <c r="Q35" s="510"/>
      <c r="R35" s="510"/>
    </row>
    <row r="36" spans="1:22" s="492" customFormat="1" ht="15.75" x14ac:dyDescent="0.25">
      <c r="B36" s="98" t="s">
        <v>2614</v>
      </c>
      <c r="C36" s="98" t="s">
        <v>2615</v>
      </c>
      <c r="D36" s="98" t="s">
        <v>2616</v>
      </c>
      <c r="E36" s="98" t="s">
        <v>556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2617</v>
      </c>
      <c r="M36" s="5">
        <v>38117.18</v>
      </c>
      <c r="N36" s="103">
        <v>5</v>
      </c>
      <c r="O36" s="5">
        <f>(((M36)-1)/5)/12</f>
        <v>635.26966666666669</v>
      </c>
      <c r="P36" s="5">
        <v>9846.6798333333336</v>
      </c>
      <c r="Q36" s="462">
        <f>O36*V36</f>
        <v>26681.326000000001</v>
      </c>
      <c r="R36" s="15">
        <f>Q36-P36</f>
        <v>16834.646166666666</v>
      </c>
      <c r="S36" s="462">
        <f t="shared" ref="S36:S47" si="7">M36-Q36</f>
        <v>11435.853999999999</v>
      </c>
      <c r="T36" s="512"/>
      <c r="V36" s="44">
        <f>IF((DATEDIF(F36,V$5,"m"))&gt;=60,60,(DATEDIF(F36,V$5,"m")))</f>
        <v>42</v>
      </c>
    </row>
    <row r="37" spans="1:22" s="492" customFormat="1" ht="15.75" x14ac:dyDescent="0.25">
      <c r="B37" s="98" t="s">
        <v>2614</v>
      </c>
      <c r="C37" s="98" t="s">
        <v>2615</v>
      </c>
      <c r="D37" s="98" t="s">
        <v>2616</v>
      </c>
      <c r="E37" s="98" t="s">
        <v>556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2617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9846.6798333333336</v>
      </c>
      <c r="Q37" s="462">
        <f t="shared" ref="Q37:Q47" si="9">O37*V37</f>
        <v>26681.326000000001</v>
      </c>
      <c r="R37" s="15">
        <f t="shared" ref="R37:R47" si="10">Q37-P37</f>
        <v>16834.646166666666</v>
      </c>
      <c r="S37" s="462">
        <f t="shared" si="7"/>
        <v>11435.853999999999</v>
      </c>
      <c r="T37" s="512"/>
      <c r="V37" s="44">
        <f t="shared" ref="V37:V47" si="11">IF((DATEDIF(F37,V$5,"m"))&gt;=60,60,(DATEDIF(F37,V$5,"m")))</f>
        <v>42</v>
      </c>
    </row>
    <row r="38" spans="1:22" s="492" customFormat="1" ht="15.75" x14ac:dyDescent="0.25">
      <c r="B38" s="98" t="s">
        <v>2614</v>
      </c>
      <c r="C38" s="98" t="s">
        <v>2615</v>
      </c>
      <c r="D38" s="98" t="s">
        <v>2616</v>
      </c>
      <c r="E38" s="98" t="s">
        <v>556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2617</v>
      </c>
      <c r="M38" s="5">
        <v>38117.18</v>
      </c>
      <c r="N38" s="103">
        <v>5</v>
      </c>
      <c r="O38" s="5">
        <f t="shared" si="8"/>
        <v>635.26966666666669</v>
      </c>
      <c r="P38" s="5">
        <v>9846.6798333333336</v>
      </c>
      <c r="Q38" s="462">
        <f t="shared" si="9"/>
        <v>26681.326000000001</v>
      </c>
      <c r="R38" s="15">
        <f t="shared" si="10"/>
        <v>16834.646166666666</v>
      </c>
      <c r="S38" s="462">
        <f t="shared" si="7"/>
        <v>11435.853999999999</v>
      </c>
      <c r="T38" s="512"/>
      <c r="V38" s="44">
        <f t="shared" si="11"/>
        <v>42</v>
      </c>
    </row>
    <row r="39" spans="1:22" s="492" customFormat="1" ht="15.75" x14ac:dyDescent="0.25">
      <c r="B39" s="98" t="s">
        <v>2614</v>
      </c>
      <c r="C39" s="98" t="s">
        <v>2615</v>
      </c>
      <c r="D39" s="98" t="s">
        <v>2616</v>
      </c>
      <c r="E39" s="98" t="s">
        <v>556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2617</v>
      </c>
      <c r="M39" s="5">
        <v>38117.18</v>
      </c>
      <c r="N39" s="103">
        <v>5</v>
      </c>
      <c r="O39" s="5">
        <f t="shared" si="8"/>
        <v>635.26966666666669</v>
      </c>
      <c r="P39" s="5">
        <v>9846.6798333333336</v>
      </c>
      <c r="Q39" s="462">
        <f t="shared" si="9"/>
        <v>26681.326000000001</v>
      </c>
      <c r="R39" s="15">
        <f t="shared" si="10"/>
        <v>16834.646166666666</v>
      </c>
      <c r="S39" s="462">
        <f t="shared" si="7"/>
        <v>11435.853999999999</v>
      </c>
      <c r="T39" s="512"/>
      <c r="V39" s="44">
        <f t="shared" si="11"/>
        <v>42</v>
      </c>
    </row>
    <row r="40" spans="1:22" s="492" customFormat="1" ht="15.75" x14ac:dyDescent="0.25">
      <c r="B40" s="98" t="s">
        <v>2614</v>
      </c>
      <c r="C40" s="98" t="s">
        <v>2615</v>
      </c>
      <c r="D40" s="98" t="s">
        <v>2616</v>
      </c>
      <c r="E40" s="98" t="s">
        <v>556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2617</v>
      </c>
      <c r="M40" s="5">
        <v>38117.18</v>
      </c>
      <c r="N40" s="103">
        <v>5</v>
      </c>
      <c r="O40" s="5">
        <f t="shared" si="8"/>
        <v>635.26966666666669</v>
      </c>
      <c r="P40" s="5">
        <v>9846.6798333333336</v>
      </c>
      <c r="Q40" s="462">
        <f t="shared" si="9"/>
        <v>26681.326000000001</v>
      </c>
      <c r="R40" s="15">
        <f t="shared" si="10"/>
        <v>16834.646166666666</v>
      </c>
      <c r="S40" s="462">
        <f t="shared" si="7"/>
        <v>11435.853999999999</v>
      </c>
      <c r="T40" s="512"/>
      <c r="V40" s="44">
        <f t="shared" si="11"/>
        <v>42</v>
      </c>
    </row>
    <row r="41" spans="1:22" s="492" customFormat="1" ht="15.75" x14ac:dyDescent="0.25">
      <c r="B41" s="98" t="s">
        <v>2614</v>
      </c>
      <c r="C41" s="98" t="s">
        <v>2615</v>
      </c>
      <c r="D41" s="98" t="s">
        <v>2616</v>
      </c>
      <c r="E41" s="98" t="s">
        <v>556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2617</v>
      </c>
      <c r="M41" s="5">
        <v>38117.18</v>
      </c>
      <c r="N41" s="103">
        <v>5</v>
      </c>
      <c r="O41" s="5">
        <f t="shared" si="8"/>
        <v>635.26966666666669</v>
      </c>
      <c r="P41" s="5">
        <v>9846.6798333333336</v>
      </c>
      <c r="Q41" s="462">
        <f t="shared" si="9"/>
        <v>26681.326000000001</v>
      </c>
      <c r="R41" s="15">
        <f t="shared" si="10"/>
        <v>16834.646166666666</v>
      </c>
      <c r="S41" s="462">
        <f t="shared" si="7"/>
        <v>11435.853999999999</v>
      </c>
      <c r="T41" s="512"/>
      <c r="V41" s="44">
        <f t="shared" si="11"/>
        <v>42</v>
      </c>
    </row>
    <row r="42" spans="1:22" ht="15.75" x14ac:dyDescent="0.25">
      <c r="B42" s="98" t="s">
        <v>2614</v>
      </c>
      <c r="C42" s="98" t="s">
        <v>2615</v>
      </c>
      <c r="D42" s="98" t="s">
        <v>2616</v>
      </c>
      <c r="E42" s="98" t="s">
        <v>556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2617</v>
      </c>
      <c r="M42" s="5">
        <v>38117.180999999997</v>
      </c>
      <c r="N42" s="103">
        <v>5</v>
      </c>
      <c r="O42" s="5">
        <f t="shared" si="8"/>
        <v>635.26968333333332</v>
      </c>
      <c r="P42" s="5">
        <v>9846.6800916666671</v>
      </c>
      <c r="Q42" s="462">
        <f t="shared" si="9"/>
        <v>26681.326699999998</v>
      </c>
      <c r="R42" s="15">
        <f t="shared" si="10"/>
        <v>16834.646608333329</v>
      </c>
      <c r="S42" s="462">
        <f t="shared" si="7"/>
        <v>11435.854299999999</v>
      </c>
      <c r="T42" s="512"/>
      <c r="U42" s="492"/>
      <c r="V42" s="44">
        <f t="shared" si="11"/>
        <v>42</v>
      </c>
    </row>
    <row r="43" spans="1:22" ht="15.75" x14ac:dyDescent="0.25">
      <c r="B43" s="98" t="s">
        <v>2614</v>
      </c>
      <c r="C43" s="98" t="s">
        <v>2615</v>
      </c>
      <c r="D43" s="98" t="s">
        <v>2616</v>
      </c>
      <c r="E43" s="98" t="s">
        <v>556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2617</v>
      </c>
      <c r="M43" s="5">
        <v>38117.180999999997</v>
      </c>
      <c r="N43" s="103">
        <v>5</v>
      </c>
      <c r="O43" s="5">
        <f t="shared" si="8"/>
        <v>635.26968333333332</v>
      </c>
      <c r="P43" s="5">
        <v>9846.6800916666671</v>
      </c>
      <c r="Q43" s="462">
        <f t="shared" si="9"/>
        <v>26681.326699999998</v>
      </c>
      <c r="R43" s="15">
        <f t="shared" si="10"/>
        <v>16834.646608333329</v>
      </c>
      <c r="S43" s="462">
        <f t="shared" si="7"/>
        <v>11435.854299999999</v>
      </c>
      <c r="T43" s="512"/>
      <c r="U43" s="492"/>
      <c r="V43" s="44">
        <f t="shared" si="11"/>
        <v>42</v>
      </c>
    </row>
    <row r="44" spans="1:22" ht="15.75" x14ac:dyDescent="0.25">
      <c r="B44" s="98" t="s">
        <v>2614</v>
      </c>
      <c r="C44" s="98" t="s">
        <v>2615</v>
      </c>
      <c r="D44" s="98" t="s">
        <v>2616</v>
      </c>
      <c r="E44" s="98" t="s">
        <v>556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2617</v>
      </c>
      <c r="M44" s="5">
        <v>38117.180999999997</v>
      </c>
      <c r="N44" s="103">
        <v>5</v>
      </c>
      <c r="O44" s="5">
        <f t="shared" si="8"/>
        <v>635.26968333333332</v>
      </c>
      <c r="P44" s="5">
        <v>9846.6800916666671</v>
      </c>
      <c r="Q44" s="462">
        <f t="shared" si="9"/>
        <v>26681.326699999998</v>
      </c>
      <c r="R44" s="15">
        <f t="shared" si="10"/>
        <v>16834.646608333329</v>
      </c>
      <c r="S44" s="462">
        <f t="shared" si="7"/>
        <v>11435.854299999999</v>
      </c>
      <c r="T44" s="512"/>
      <c r="U44" s="492"/>
      <c r="V44" s="44">
        <f t="shared" si="11"/>
        <v>42</v>
      </c>
    </row>
    <row r="45" spans="1:22" ht="15.75" x14ac:dyDescent="0.25">
      <c r="B45" s="98" t="s">
        <v>2614</v>
      </c>
      <c r="C45" s="98" t="s">
        <v>2615</v>
      </c>
      <c r="D45" s="98" t="s">
        <v>2616</v>
      </c>
      <c r="E45" s="98" t="s">
        <v>556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2617</v>
      </c>
      <c r="M45" s="5">
        <v>38117.180999999997</v>
      </c>
      <c r="N45" s="103">
        <v>5</v>
      </c>
      <c r="O45" s="5">
        <f t="shared" si="8"/>
        <v>635.26968333333332</v>
      </c>
      <c r="P45" s="5">
        <v>9846.6800916666671</v>
      </c>
      <c r="Q45" s="462">
        <f t="shared" si="9"/>
        <v>26681.326699999998</v>
      </c>
      <c r="R45" s="15">
        <f t="shared" si="10"/>
        <v>16834.646608333329</v>
      </c>
      <c r="S45" s="462">
        <f t="shared" si="7"/>
        <v>11435.854299999999</v>
      </c>
      <c r="T45" s="512"/>
      <c r="U45" s="492"/>
      <c r="V45" s="44">
        <f t="shared" si="11"/>
        <v>42</v>
      </c>
    </row>
    <row r="46" spans="1:22" ht="15.75" x14ac:dyDescent="0.25">
      <c r="B46" s="98" t="s">
        <v>2614</v>
      </c>
      <c r="C46" s="98" t="s">
        <v>2615</v>
      </c>
      <c r="D46" s="98" t="s">
        <v>2616</v>
      </c>
      <c r="E46" s="98" t="s">
        <v>556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2617</v>
      </c>
      <c r="M46" s="5">
        <v>38117.180999999997</v>
      </c>
      <c r="N46" s="103">
        <v>5</v>
      </c>
      <c r="O46" s="5">
        <f t="shared" si="8"/>
        <v>635.26968333333332</v>
      </c>
      <c r="P46" s="5">
        <v>9846.6800916666671</v>
      </c>
      <c r="Q46" s="462">
        <f t="shared" si="9"/>
        <v>26681.326699999998</v>
      </c>
      <c r="R46" s="15">
        <f t="shared" si="10"/>
        <v>16834.646608333329</v>
      </c>
      <c r="S46" s="462">
        <f t="shared" si="7"/>
        <v>11435.854299999999</v>
      </c>
      <c r="T46" s="512"/>
      <c r="U46" s="492"/>
      <c r="V46" s="44">
        <f t="shared" si="11"/>
        <v>42</v>
      </c>
    </row>
    <row r="47" spans="1:22" ht="15.75" x14ac:dyDescent="0.25">
      <c r="B47" s="98" t="s">
        <v>2614</v>
      </c>
      <c r="C47" s="98" t="s">
        <v>2615</v>
      </c>
      <c r="D47" s="98" t="s">
        <v>2616</v>
      </c>
      <c r="E47" s="98" t="s">
        <v>556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2617</v>
      </c>
      <c r="M47" s="5">
        <v>38117.180999999997</v>
      </c>
      <c r="N47" s="103">
        <v>5</v>
      </c>
      <c r="O47" s="5">
        <f t="shared" si="8"/>
        <v>635.26968333333332</v>
      </c>
      <c r="P47" s="5">
        <v>9846.6800916666671</v>
      </c>
      <c r="Q47" s="462">
        <f t="shared" si="9"/>
        <v>26681.326699999998</v>
      </c>
      <c r="R47" s="15">
        <f t="shared" si="10"/>
        <v>16834.646608333329</v>
      </c>
      <c r="S47" s="462">
        <f t="shared" si="7"/>
        <v>11435.854299999999</v>
      </c>
      <c r="T47" s="512"/>
      <c r="U47" s="492"/>
      <c r="V47" s="44">
        <f t="shared" si="11"/>
        <v>42</v>
      </c>
    </row>
    <row r="48" spans="1:22" ht="15.75" x14ac:dyDescent="0.25">
      <c r="A48" s="105" t="s">
        <v>2637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118160.15955000001</v>
      </c>
      <c r="Q48" s="115">
        <f>SUM(Q36:Q47)</f>
        <v>320175.91619999998</v>
      </c>
      <c r="R48" s="115">
        <f>SUM(R36:R47)</f>
        <v>202015.75665000002</v>
      </c>
      <c r="S48" s="115">
        <f>SUM(S36:S47)</f>
        <v>137230.24980000002</v>
      </c>
    </row>
    <row r="49" spans="1:22" x14ac:dyDescent="0.2">
      <c r="M49" s="521"/>
      <c r="N49" s="521"/>
      <c r="O49" s="521"/>
      <c r="P49" s="521"/>
      <c r="Q49" s="521"/>
      <c r="R49" s="521"/>
      <c r="S49" s="521"/>
    </row>
    <row r="50" spans="1:22" s="510" customFormat="1" ht="16.5" thickBot="1" x14ac:dyDescent="0.3">
      <c r="A50" s="22" t="s">
        <v>725</v>
      </c>
      <c r="C50" s="523"/>
      <c r="D50" s="523"/>
      <c r="M50" s="479">
        <f>+M48+M33</f>
        <v>2445971.1383999996</v>
      </c>
      <c r="N50" s="472"/>
      <c r="O50" s="479">
        <f>+O48+O33</f>
        <v>9826.2460999999985</v>
      </c>
      <c r="P50" s="479">
        <v>1426474.3357500001</v>
      </c>
      <c r="Q50" s="479">
        <f>+Q48+Q33</f>
        <v>2294779.0385999996</v>
      </c>
      <c r="R50" s="479">
        <f>+R48+R33</f>
        <v>868304.70284999989</v>
      </c>
      <c r="S50" s="479">
        <f>+S48+S33</f>
        <v>151192.09980000005</v>
      </c>
    </row>
    <row r="51" spans="1:22" ht="13.5" thickTop="1" x14ac:dyDescent="0.2">
      <c r="M51" s="521"/>
      <c r="N51" s="521"/>
      <c r="O51" s="521"/>
      <c r="P51" s="521"/>
      <c r="Q51" s="521"/>
      <c r="R51" s="521"/>
      <c r="S51" s="521"/>
    </row>
    <row r="52" spans="1:22" ht="15.75" x14ac:dyDescent="0.25">
      <c r="B52" s="98" t="s">
        <v>2618</v>
      </c>
      <c r="C52" s="98"/>
      <c r="D52" s="98"/>
      <c r="E52" s="98" t="s">
        <v>2619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2620</v>
      </c>
      <c r="L52" s="40" t="s">
        <v>2617</v>
      </c>
      <c r="M52" s="5">
        <v>6138.91358024691</v>
      </c>
      <c r="N52" s="103">
        <v>5</v>
      </c>
      <c r="O52" s="5">
        <f>(((M52)-1)/5)/12</f>
        <v>102.29855967078184</v>
      </c>
      <c r="P52" s="5">
        <v>716.08991769547288</v>
      </c>
      <c r="Q52" s="462">
        <f>O52*V52</f>
        <v>2557.4639917695458</v>
      </c>
      <c r="R52" s="15">
        <f t="shared" ref="R52:R59" si="12">Q52-P52</f>
        <v>1841.374074074073</v>
      </c>
      <c r="S52" s="462">
        <f t="shared" ref="S52:S59" si="13">M52-Q52</f>
        <v>3581.4495884773642</v>
      </c>
      <c r="T52" s="512">
        <v>18554</v>
      </c>
      <c r="U52" s="492"/>
      <c r="V52" s="44">
        <f t="shared" ref="V52:V59" si="14">IF((DATEDIF(F52,V$5,"m"))&gt;=60,60,(DATEDIF(F52,V$5,"m")))</f>
        <v>25</v>
      </c>
    </row>
    <row r="53" spans="1:22" ht="15.75" x14ac:dyDescent="0.25">
      <c r="B53" s="98" t="s">
        <v>2618</v>
      </c>
      <c r="C53" s="98"/>
      <c r="D53" s="98"/>
      <c r="E53" s="98" t="s">
        <v>2619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2620</v>
      </c>
      <c r="L53" s="40" t="s">
        <v>2617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716.08991769547288</v>
      </c>
      <c r="Q53" s="462">
        <f t="shared" ref="Q53:Q59" si="16">O53*V53</f>
        <v>2557.4639917695458</v>
      </c>
      <c r="R53" s="15">
        <f t="shared" si="12"/>
        <v>1841.374074074073</v>
      </c>
      <c r="S53" s="462">
        <f t="shared" si="13"/>
        <v>3581.4495884773642</v>
      </c>
      <c r="T53" s="512">
        <v>18554</v>
      </c>
      <c r="U53" s="492"/>
      <c r="V53" s="44">
        <f t="shared" si="14"/>
        <v>25</v>
      </c>
    </row>
    <row r="54" spans="1:22" ht="15.75" x14ac:dyDescent="0.25">
      <c r="B54" s="98" t="s">
        <v>2621</v>
      </c>
      <c r="C54" s="98"/>
      <c r="D54" s="98"/>
      <c r="E54" s="98" t="s">
        <v>2619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2620</v>
      </c>
      <c r="L54" s="40" t="s">
        <v>2617</v>
      </c>
      <c r="M54" s="5">
        <v>2712.54320987654</v>
      </c>
      <c r="N54" s="103">
        <v>5</v>
      </c>
      <c r="O54" s="5">
        <f t="shared" si="15"/>
        <v>45.192386831275662</v>
      </c>
      <c r="P54" s="5">
        <v>316.34670781892964</v>
      </c>
      <c r="Q54" s="462">
        <f t="shared" si="16"/>
        <v>1129.8096707818916</v>
      </c>
      <c r="R54" s="15">
        <f t="shared" si="12"/>
        <v>813.46296296296191</v>
      </c>
      <c r="S54" s="462">
        <f t="shared" si="13"/>
        <v>1582.7335390946484</v>
      </c>
      <c r="T54" s="512">
        <v>18554</v>
      </c>
      <c r="U54" s="492"/>
      <c r="V54" s="44">
        <f t="shared" si="14"/>
        <v>25</v>
      </c>
    </row>
    <row r="55" spans="1:22" ht="15.75" x14ac:dyDescent="0.25">
      <c r="B55" s="98" t="s">
        <v>2621</v>
      </c>
      <c r="C55" s="98"/>
      <c r="D55" s="98"/>
      <c r="E55" s="98" t="s">
        <v>2619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2620</v>
      </c>
      <c r="L55" s="40" t="s">
        <v>2617</v>
      </c>
      <c r="M55" s="5">
        <v>2712.54320987654</v>
      </c>
      <c r="N55" s="103">
        <v>5</v>
      </c>
      <c r="O55" s="5">
        <f t="shared" si="15"/>
        <v>45.192386831275662</v>
      </c>
      <c r="P55" s="5">
        <v>316.34670781892964</v>
      </c>
      <c r="Q55" s="462">
        <f t="shared" si="16"/>
        <v>1129.8096707818916</v>
      </c>
      <c r="R55" s="15">
        <f t="shared" si="12"/>
        <v>813.46296296296191</v>
      </c>
      <c r="S55" s="462">
        <f t="shared" si="13"/>
        <v>1582.7335390946484</v>
      </c>
      <c r="T55" s="512">
        <v>18554</v>
      </c>
      <c r="U55" s="492"/>
      <c r="V55" s="44">
        <f t="shared" si="14"/>
        <v>25</v>
      </c>
    </row>
    <row r="56" spans="1:22" ht="15.75" x14ac:dyDescent="0.25">
      <c r="B56" s="98" t="s">
        <v>2621</v>
      </c>
      <c r="C56" s="98"/>
      <c r="D56" s="98"/>
      <c r="E56" s="98" t="s">
        <v>2619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2620</v>
      </c>
      <c r="L56" s="40" t="s">
        <v>2617</v>
      </c>
      <c r="M56" s="5">
        <v>2712.54320987654</v>
      </c>
      <c r="N56" s="103">
        <v>5</v>
      </c>
      <c r="O56" s="5">
        <f t="shared" si="15"/>
        <v>45.192386831275662</v>
      </c>
      <c r="P56" s="5">
        <v>316.34670781892964</v>
      </c>
      <c r="Q56" s="462">
        <f t="shared" si="16"/>
        <v>1129.8096707818916</v>
      </c>
      <c r="R56" s="15">
        <f t="shared" si="12"/>
        <v>813.46296296296191</v>
      </c>
      <c r="S56" s="462">
        <f t="shared" si="13"/>
        <v>1582.7335390946484</v>
      </c>
      <c r="T56" s="512">
        <v>18554</v>
      </c>
      <c r="U56" s="492"/>
      <c r="V56" s="44">
        <f t="shared" si="14"/>
        <v>25</v>
      </c>
    </row>
    <row r="57" spans="1:22" ht="15.75" x14ac:dyDescent="0.25">
      <c r="B57" s="98" t="s">
        <v>2621</v>
      </c>
      <c r="C57" s="98"/>
      <c r="D57" s="98"/>
      <c r="E57" s="98" t="s">
        <v>2619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2620</v>
      </c>
      <c r="L57" s="40" t="s">
        <v>2617</v>
      </c>
      <c r="M57" s="5">
        <v>2712.54320987654</v>
      </c>
      <c r="N57" s="103">
        <v>5</v>
      </c>
      <c r="O57" s="5">
        <f t="shared" si="15"/>
        <v>45.192386831275662</v>
      </c>
      <c r="P57" s="5">
        <v>316.34670781892964</v>
      </c>
      <c r="Q57" s="462">
        <f t="shared" si="16"/>
        <v>1129.8096707818916</v>
      </c>
      <c r="R57" s="15">
        <f t="shared" si="12"/>
        <v>813.46296296296191</v>
      </c>
      <c r="S57" s="462">
        <f t="shared" si="13"/>
        <v>1582.7335390946484</v>
      </c>
      <c r="T57" s="512">
        <v>18554</v>
      </c>
      <c r="U57" s="492"/>
      <c r="V57" s="44">
        <f t="shared" si="14"/>
        <v>25</v>
      </c>
    </row>
    <row r="58" spans="1:22" ht="15.75" x14ac:dyDescent="0.25">
      <c r="B58" s="98" t="s">
        <v>2622</v>
      </c>
      <c r="C58" s="98" t="s">
        <v>2623</v>
      </c>
      <c r="D58" s="98"/>
      <c r="E58" s="98" t="s">
        <v>2619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2624</v>
      </c>
      <c r="L58" s="40" t="s">
        <v>2617</v>
      </c>
      <c r="M58" s="5">
        <v>132250.85999999999</v>
      </c>
      <c r="N58" s="103">
        <v>5</v>
      </c>
      <c r="O58" s="5">
        <f t="shared" si="15"/>
        <v>2204.1643333333332</v>
      </c>
      <c r="P58" s="5">
        <v>15429.150333333331</v>
      </c>
      <c r="Q58" s="462">
        <f t="shared" si="16"/>
        <v>55104.10833333333</v>
      </c>
      <c r="R58" s="15">
        <f t="shared" si="12"/>
        <v>39674.957999999999</v>
      </c>
      <c r="S58" s="462">
        <f t="shared" si="13"/>
        <v>77146.751666666649</v>
      </c>
      <c r="T58" s="512" t="s">
        <v>2625</v>
      </c>
      <c r="U58" s="492"/>
      <c r="V58" s="44">
        <f t="shared" si="14"/>
        <v>25</v>
      </c>
    </row>
    <row r="59" spans="1:22" ht="15.75" x14ac:dyDescent="0.25">
      <c r="B59" s="98" t="s">
        <v>2622</v>
      </c>
      <c r="C59" s="98" t="s">
        <v>2623</v>
      </c>
      <c r="D59" s="98"/>
      <c r="E59" s="98" t="s">
        <v>2619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2624</v>
      </c>
      <c r="L59" s="40" t="s">
        <v>2617</v>
      </c>
      <c r="M59" s="5">
        <v>132250.85999999999</v>
      </c>
      <c r="N59" s="103">
        <v>5</v>
      </c>
      <c r="O59" s="5">
        <f t="shared" si="15"/>
        <v>2204.1643333333332</v>
      </c>
      <c r="P59" s="5">
        <v>15429.150333333331</v>
      </c>
      <c r="Q59" s="462">
        <f t="shared" si="16"/>
        <v>55104.10833333333</v>
      </c>
      <c r="R59" s="15">
        <f t="shared" si="12"/>
        <v>39674.957999999999</v>
      </c>
      <c r="S59" s="462">
        <f t="shared" si="13"/>
        <v>77146.751666666649</v>
      </c>
      <c r="T59" s="512" t="s">
        <v>2625</v>
      </c>
      <c r="U59" s="492"/>
      <c r="V59" s="44">
        <f t="shared" si="14"/>
        <v>25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33555.867333333328</v>
      </c>
      <c r="Q60" s="115">
        <f>SUM(Q52:Q59)</f>
        <v>119842.38333333332</v>
      </c>
      <c r="R60" s="115">
        <f>SUM(R52:R59)</f>
        <v>86286.515999999989</v>
      </c>
      <c r="S60" s="115">
        <f>SUM(S52:S59)</f>
        <v>167787.33666666661</v>
      </c>
    </row>
    <row r="61" spans="1:22" x14ac:dyDescent="0.2">
      <c r="M61" s="521"/>
      <c r="N61" s="521"/>
      <c r="O61" s="521"/>
      <c r="P61" s="521"/>
      <c r="Q61" s="521"/>
      <c r="R61" s="521"/>
      <c r="S61" s="521"/>
    </row>
    <row r="63" spans="1:22" ht="15.75" x14ac:dyDescent="0.25">
      <c r="B63" s="98" t="s">
        <v>2626</v>
      </c>
      <c r="C63" s="98" t="s">
        <v>2627</v>
      </c>
      <c r="D63" s="98" t="s">
        <v>2628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2629</v>
      </c>
      <c r="L63" s="40" t="s">
        <v>2617</v>
      </c>
      <c r="M63" s="5">
        <v>16541.3</v>
      </c>
      <c r="N63" s="103">
        <v>5</v>
      </c>
      <c r="O63" s="5">
        <f>(((M63)-1)/5)/12</f>
        <v>275.67166666666668</v>
      </c>
      <c r="P63" s="5">
        <v>1791.8658333333335</v>
      </c>
      <c r="Q63" s="462">
        <f t="shared" ref="Q63:Q71" si="17">O63*V63</f>
        <v>6616.1200000000008</v>
      </c>
      <c r="R63" s="15">
        <f t="shared" ref="R63:R71" si="18">Q63-P63</f>
        <v>4824.2541666666675</v>
      </c>
      <c r="S63" s="462">
        <f t="shared" ref="S63:S71" si="19">M63-Q63</f>
        <v>9925.1799999999985</v>
      </c>
      <c r="T63" s="512">
        <v>18701</v>
      </c>
      <c r="U63" s="492"/>
      <c r="V63" s="44">
        <f t="shared" ref="V63:V71" si="20">IF((DATEDIF(F63,V$5,"m"))&gt;=60,60,(DATEDIF(F63,V$5,"m")))</f>
        <v>24</v>
      </c>
    </row>
    <row r="64" spans="1:22" ht="15.75" x14ac:dyDescent="0.25">
      <c r="B64" s="98" t="s">
        <v>2630</v>
      </c>
      <c r="C64" s="98" t="s">
        <v>2627</v>
      </c>
      <c r="D64" s="98" t="s">
        <v>2628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2629</v>
      </c>
      <c r="L64" s="40" t="s">
        <v>2617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1427.2288333333333</v>
      </c>
      <c r="Q64" s="462">
        <f t="shared" si="17"/>
        <v>5269.768</v>
      </c>
      <c r="R64" s="15">
        <f t="shared" si="18"/>
        <v>3842.5391666666665</v>
      </c>
      <c r="S64" s="462">
        <f t="shared" si="19"/>
        <v>7905.652</v>
      </c>
      <c r="T64" s="512">
        <v>18701</v>
      </c>
      <c r="U64" s="492"/>
      <c r="V64" s="44">
        <f t="shared" si="20"/>
        <v>24</v>
      </c>
    </row>
    <row r="65" spans="1:22" ht="15.75" x14ac:dyDescent="0.25">
      <c r="B65" s="98" t="s">
        <v>2631</v>
      </c>
      <c r="C65" s="98" t="s">
        <v>2627</v>
      </c>
      <c r="D65" s="98" t="s">
        <v>2632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2629</v>
      </c>
      <c r="L65" s="40" t="s">
        <v>2617</v>
      </c>
      <c r="M65" s="5">
        <v>7544.8515500000003</v>
      </c>
      <c r="N65" s="103">
        <v>5</v>
      </c>
      <c r="O65" s="5">
        <f t="shared" si="21"/>
        <v>125.73085916666668</v>
      </c>
      <c r="P65" s="5">
        <v>817.25058458333342</v>
      </c>
      <c r="Q65" s="462">
        <f t="shared" si="17"/>
        <v>3017.5406200000002</v>
      </c>
      <c r="R65" s="15">
        <f t="shared" si="18"/>
        <v>2200.2900354166668</v>
      </c>
      <c r="S65" s="462">
        <f t="shared" si="19"/>
        <v>4527.3109299999996</v>
      </c>
      <c r="T65" s="512">
        <v>18701</v>
      </c>
      <c r="U65" s="492"/>
      <c r="V65" s="44">
        <f t="shared" si="20"/>
        <v>24</v>
      </c>
    </row>
    <row r="66" spans="1:22" ht="15.75" x14ac:dyDescent="0.25">
      <c r="B66" s="98" t="s">
        <v>2631</v>
      </c>
      <c r="C66" s="98" t="s">
        <v>2627</v>
      </c>
      <c r="D66" s="98" t="s">
        <v>2632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2629</v>
      </c>
      <c r="L66" s="40" t="s">
        <v>2617</v>
      </c>
      <c r="M66" s="5">
        <v>7544.8515500000003</v>
      </c>
      <c r="N66" s="103">
        <v>5</v>
      </c>
      <c r="O66" s="5">
        <f t="shared" si="21"/>
        <v>125.73085916666668</v>
      </c>
      <c r="P66" s="5">
        <v>817.25058458333342</v>
      </c>
      <c r="Q66" s="462">
        <f t="shared" si="17"/>
        <v>3017.5406200000002</v>
      </c>
      <c r="R66" s="15">
        <f t="shared" si="18"/>
        <v>2200.2900354166668</v>
      </c>
      <c r="S66" s="462">
        <f t="shared" si="19"/>
        <v>4527.3109299999996</v>
      </c>
      <c r="T66" s="512">
        <v>18701</v>
      </c>
      <c r="U66" s="492"/>
      <c r="V66" s="44">
        <f t="shared" si="20"/>
        <v>24</v>
      </c>
    </row>
    <row r="67" spans="1:22" ht="15.75" x14ac:dyDescent="0.25">
      <c r="B67" s="98" t="s">
        <v>2631</v>
      </c>
      <c r="C67" s="98" t="s">
        <v>2627</v>
      </c>
      <c r="D67" s="98" t="s">
        <v>2632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2629</v>
      </c>
      <c r="L67" s="40" t="s">
        <v>2617</v>
      </c>
      <c r="M67" s="5">
        <v>7544.8515500000003</v>
      </c>
      <c r="N67" s="103">
        <v>5</v>
      </c>
      <c r="O67" s="5">
        <f t="shared" si="21"/>
        <v>125.73085916666668</v>
      </c>
      <c r="P67" s="5">
        <v>817.25058458333342</v>
      </c>
      <c r="Q67" s="462">
        <f t="shared" si="17"/>
        <v>3017.5406200000002</v>
      </c>
      <c r="R67" s="15">
        <f t="shared" si="18"/>
        <v>2200.2900354166668</v>
      </c>
      <c r="S67" s="462">
        <f t="shared" si="19"/>
        <v>4527.3109299999996</v>
      </c>
      <c r="T67" s="512">
        <v>18701</v>
      </c>
      <c r="U67" s="492"/>
      <c r="V67" s="44">
        <f t="shared" si="20"/>
        <v>24</v>
      </c>
    </row>
    <row r="68" spans="1:22" ht="15.75" x14ac:dyDescent="0.25">
      <c r="B68" s="98" t="s">
        <v>2631</v>
      </c>
      <c r="C68" s="98" t="s">
        <v>2627</v>
      </c>
      <c r="D68" s="98" t="s">
        <v>2632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2629</v>
      </c>
      <c r="L68" s="40" t="s">
        <v>2617</v>
      </c>
      <c r="M68" s="5">
        <v>7544.8515500000003</v>
      </c>
      <c r="N68" s="103">
        <v>5</v>
      </c>
      <c r="O68" s="5">
        <f t="shared" si="21"/>
        <v>125.73085916666668</v>
      </c>
      <c r="P68" s="5">
        <v>817.25058458333342</v>
      </c>
      <c r="Q68" s="462">
        <f t="shared" si="17"/>
        <v>3017.5406200000002</v>
      </c>
      <c r="R68" s="15">
        <f t="shared" si="18"/>
        <v>2200.2900354166668</v>
      </c>
      <c r="S68" s="462">
        <f t="shared" si="19"/>
        <v>4527.3109299999996</v>
      </c>
      <c r="T68" s="512">
        <v>18701</v>
      </c>
      <c r="U68" s="492"/>
      <c r="V68" s="44">
        <f t="shared" si="20"/>
        <v>24</v>
      </c>
    </row>
    <row r="69" spans="1:22" ht="15.75" x14ac:dyDescent="0.25">
      <c r="B69" s="98" t="s">
        <v>2631</v>
      </c>
      <c r="C69" s="98" t="s">
        <v>2627</v>
      </c>
      <c r="D69" s="98" t="s">
        <v>2632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2629</v>
      </c>
      <c r="L69" s="40" t="s">
        <v>2617</v>
      </c>
      <c r="M69" s="5">
        <v>7544.8515500000003</v>
      </c>
      <c r="N69" s="103">
        <v>5</v>
      </c>
      <c r="O69" s="5">
        <f t="shared" si="21"/>
        <v>125.73085916666668</v>
      </c>
      <c r="P69" s="5">
        <v>817.25058458333342</v>
      </c>
      <c r="Q69" s="462">
        <f t="shared" si="17"/>
        <v>3017.5406200000002</v>
      </c>
      <c r="R69" s="15">
        <f t="shared" si="18"/>
        <v>2200.2900354166668</v>
      </c>
      <c r="S69" s="462">
        <f t="shared" si="19"/>
        <v>4527.3109299999996</v>
      </c>
      <c r="T69" s="512">
        <v>18701</v>
      </c>
      <c r="U69" s="492"/>
      <c r="V69" s="44">
        <f t="shared" si="20"/>
        <v>24</v>
      </c>
    </row>
    <row r="70" spans="1:22" ht="15.75" x14ac:dyDescent="0.25">
      <c r="B70" s="98" t="s">
        <v>2631</v>
      </c>
      <c r="C70" s="98" t="s">
        <v>2627</v>
      </c>
      <c r="D70" s="98" t="s">
        <v>2632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2629</v>
      </c>
      <c r="L70" s="40" t="s">
        <v>2617</v>
      </c>
      <c r="M70" s="5">
        <v>7544.8515500000003</v>
      </c>
      <c r="N70" s="103">
        <v>5</v>
      </c>
      <c r="O70" s="5">
        <f t="shared" si="21"/>
        <v>125.73085916666668</v>
      </c>
      <c r="P70" s="5">
        <v>817.25058458333342</v>
      </c>
      <c r="Q70" s="462">
        <f t="shared" si="17"/>
        <v>3017.5406200000002</v>
      </c>
      <c r="R70" s="15">
        <f t="shared" si="18"/>
        <v>2200.2900354166668</v>
      </c>
      <c r="S70" s="462">
        <f t="shared" si="19"/>
        <v>4527.3109299999996</v>
      </c>
      <c r="T70" s="512">
        <v>18701</v>
      </c>
      <c r="U70" s="492"/>
      <c r="V70" s="44">
        <f t="shared" si="20"/>
        <v>24</v>
      </c>
    </row>
    <row r="71" spans="1:22" ht="15.75" x14ac:dyDescent="0.25">
      <c r="B71" s="98" t="s">
        <v>2631</v>
      </c>
      <c r="C71" s="98" t="s">
        <v>2627</v>
      </c>
      <c r="D71" s="98" t="s">
        <v>2632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2629</v>
      </c>
      <c r="L71" s="40" t="s">
        <v>2617</v>
      </c>
      <c r="M71" s="5">
        <v>7544.8515500000003</v>
      </c>
      <c r="N71" s="103">
        <v>5</v>
      </c>
      <c r="O71" s="5">
        <f t="shared" si="21"/>
        <v>125.73085916666668</v>
      </c>
      <c r="P71" s="5">
        <v>817.25058458333342</v>
      </c>
      <c r="Q71" s="462">
        <f t="shared" si="17"/>
        <v>3017.5406200000002</v>
      </c>
      <c r="R71" s="15">
        <f t="shared" si="18"/>
        <v>2200.2900354166668</v>
      </c>
      <c r="S71" s="462">
        <f t="shared" si="19"/>
        <v>4527.3109299999996</v>
      </c>
      <c r="T71" s="512">
        <v>18701</v>
      </c>
      <c r="U71" s="492"/>
      <c r="V71" s="44">
        <f t="shared" si="20"/>
        <v>24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8939.8487587499985</v>
      </c>
      <c r="Q72" s="115">
        <f>SUM(Q63:Q71)</f>
        <v>33008.672340000005</v>
      </c>
      <c r="R72" s="115">
        <f>SUM(R63:R71)</f>
        <v>24068.823581250002</v>
      </c>
      <c r="S72" s="115">
        <f>SUM(S63:S71)</f>
        <v>49522.008509999992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24"/>
    </row>
    <row r="74" spans="1:22" ht="15.75" x14ac:dyDescent="0.25">
      <c r="A74" s="105" t="s">
        <v>2633</v>
      </c>
      <c r="M74" s="115">
        <f>+M72+M60</f>
        <v>370160.40084999998</v>
      </c>
      <c r="N74" s="422"/>
      <c r="O74" s="115">
        <f>+O72+O60</f>
        <v>6169.0566808333333</v>
      </c>
      <c r="P74" s="115">
        <v>42495.716092083327</v>
      </c>
      <c r="Q74" s="115">
        <f>+Q72+Q60</f>
        <v>152851.05567333332</v>
      </c>
      <c r="R74" s="115">
        <f>+R72+R60</f>
        <v>110355.33958124999</v>
      </c>
      <c r="S74" s="115">
        <f>+S72+S60</f>
        <v>217309.3451766666</v>
      </c>
    </row>
    <row r="76" spans="1:22" s="510" customFormat="1" ht="16.5" thickBot="1" x14ac:dyDescent="0.3">
      <c r="A76" s="22" t="s">
        <v>803</v>
      </c>
      <c r="C76" s="523"/>
      <c r="D76" s="523"/>
      <c r="M76" s="294">
        <f>+M74+M50</f>
        <v>2816131.5392499994</v>
      </c>
      <c r="N76" s="628"/>
      <c r="O76" s="294">
        <f>+O74+O50</f>
        <v>15995.302780833332</v>
      </c>
      <c r="P76" s="294">
        <v>1468970.0518420835</v>
      </c>
      <c r="Q76" s="294">
        <f>+Q74+Q50</f>
        <v>2447630.094273333</v>
      </c>
      <c r="R76" s="294">
        <f>+R74+R50</f>
        <v>978660.04243124987</v>
      </c>
      <c r="S76" s="294">
        <f>+S74+S50</f>
        <v>368501.44497666665</v>
      </c>
    </row>
    <row r="77" spans="1:22" ht="16.5" thickTop="1" x14ac:dyDescent="0.25">
      <c r="B77" s="492"/>
      <c r="C77" s="493"/>
      <c r="D77" s="493"/>
      <c r="E77" s="40"/>
      <c r="F77" s="132"/>
      <c r="G77" s="492"/>
      <c r="H77" s="492"/>
      <c r="I77" s="492"/>
      <c r="J77" s="492"/>
      <c r="K77" s="492"/>
      <c r="L77" s="492"/>
      <c r="M77" s="508"/>
      <c r="O77" s="509"/>
      <c r="P77" s="509"/>
      <c r="Q77" s="510"/>
      <c r="R77" s="510"/>
      <c r="S77" s="511"/>
      <c r="T77" s="512"/>
      <c r="U77" s="492"/>
      <c r="V77" s="44"/>
    </row>
    <row r="78" spans="1:22" ht="15.75" x14ac:dyDescent="0.25">
      <c r="B78" s="98" t="s">
        <v>2631</v>
      </c>
      <c r="C78" s="98" t="s">
        <v>2627</v>
      </c>
      <c r="D78" s="98" t="s">
        <v>2634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2635</v>
      </c>
      <c r="L78" s="40" t="s">
        <v>2617</v>
      </c>
      <c r="M78" s="5">
        <v>7713.54</v>
      </c>
      <c r="N78" s="103">
        <v>5</v>
      </c>
      <c r="O78" s="5">
        <f>(((M78)-1)/5)/12</f>
        <v>128.54233333333335</v>
      </c>
      <c r="P78" s="5">
        <v>514.16933333333338</v>
      </c>
      <c r="Q78" s="462">
        <f>O78*V78</f>
        <v>2442.3043333333335</v>
      </c>
      <c r="R78" s="15">
        <f>Q78-P78</f>
        <v>1928.1350000000002</v>
      </c>
      <c r="S78" s="462">
        <f>M78-Q78</f>
        <v>5271.2356666666665</v>
      </c>
      <c r="T78" s="512">
        <v>18701</v>
      </c>
      <c r="U78" s="492"/>
      <c r="V78" s="44">
        <f>IF((DATEDIF(F78,V$5,"m"))&gt;=60,60,(DATEDIF(F78,V$5,"m")))</f>
        <v>19</v>
      </c>
    </row>
    <row r="79" spans="1:22" ht="15.75" x14ac:dyDescent="0.25">
      <c r="B79" s="98" t="s">
        <v>2631</v>
      </c>
      <c r="C79" s="98" t="s">
        <v>2627</v>
      </c>
      <c r="D79" s="98" t="s">
        <v>2634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2635</v>
      </c>
      <c r="L79" s="40" t="s">
        <v>2617</v>
      </c>
      <c r="M79" s="5">
        <v>7713.54</v>
      </c>
      <c r="N79" s="103">
        <v>5</v>
      </c>
      <c r="O79" s="5">
        <f>(((M79)-1)/5)/12</f>
        <v>128.54233333333335</v>
      </c>
      <c r="P79" s="5">
        <v>514.16933333333338</v>
      </c>
      <c r="Q79" s="462">
        <f>O79*V79</f>
        <v>2442.3043333333335</v>
      </c>
      <c r="R79" s="15">
        <f>Q79-P79</f>
        <v>1928.1350000000002</v>
      </c>
      <c r="S79" s="462">
        <f>M79-Q79</f>
        <v>5271.2356666666665</v>
      </c>
      <c r="T79" s="512">
        <v>18701</v>
      </c>
      <c r="U79" s="492"/>
      <c r="V79" s="44">
        <f>IF((DATEDIF(F79,V$5,"m"))&gt;=60,60,(DATEDIF(F79,V$5,"m")))</f>
        <v>19</v>
      </c>
    </row>
    <row r="80" spans="1:22" ht="15.75" x14ac:dyDescent="0.25">
      <c r="A80" s="677" t="s">
        <v>2638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115">
        <f>SUM(M78:M79)</f>
        <v>15427.08</v>
      </c>
      <c r="N80" s="422"/>
      <c r="O80" s="115">
        <f>SUM(O78:O79)</f>
        <v>257.08466666666669</v>
      </c>
      <c r="P80" s="115">
        <v>1028.3386666666668</v>
      </c>
      <c r="Q80" s="115">
        <f>SUM(Q78:Q79)</f>
        <v>4884.608666666667</v>
      </c>
      <c r="R80" s="115">
        <f>SUM(R78:R79)</f>
        <v>3856.2700000000004</v>
      </c>
      <c r="S80" s="115">
        <f>SUM(S78:S79)</f>
        <v>10542.471333333333</v>
      </c>
    </row>
    <row r="81" spans="1:22" x14ac:dyDescent="0.2">
      <c r="M81" s="521"/>
      <c r="N81" s="521"/>
      <c r="O81" s="521"/>
      <c r="P81" s="521"/>
      <c r="Q81" s="521"/>
      <c r="R81" s="521"/>
      <c r="S81" s="521"/>
    </row>
    <row r="82" spans="1:22" s="510" customFormat="1" ht="16.5" thickBot="1" x14ac:dyDescent="0.3">
      <c r="A82" s="22" t="s">
        <v>817</v>
      </c>
      <c r="C82" s="523"/>
      <c r="D82" s="523"/>
      <c r="M82" s="294">
        <f>+M76+M80</f>
        <v>2831558.6192499995</v>
      </c>
      <c r="N82" s="628"/>
      <c r="O82" s="294">
        <f>+O76+O80</f>
        <v>16252.387447499999</v>
      </c>
      <c r="P82" s="294">
        <f>+P76+P80</f>
        <v>1469998.3905087502</v>
      </c>
      <c r="Q82" s="294">
        <f t="shared" ref="Q82:S82" si="22">+Q76+Q80</f>
        <v>2452514.7029399998</v>
      </c>
      <c r="R82" s="294">
        <f t="shared" si="22"/>
        <v>982516.31243124988</v>
      </c>
      <c r="S82" s="294">
        <f t="shared" si="22"/>
        <v>379043.91631</v>
      </c>
    </row>
    <row r="83" spans="1:22" ht="13.5" thickTop="1" x14ac:dyDescent="0.2">
      <c r="M83" s="521"/>
      <c r="N83" s="521"/>
      <c r="O83" s="521"/>
      <c r="P83" s="521"/>
      <c r="Q83" s="521"/>
      <c r="R83" s="521"/>
      <c r="S83" s="521"/>
    </row>
    <row r="84" spans="1:22" x14ac:dyDescent="0.2">
      <c r="M84" s="521"/>
      <c r="N84" s="521"/>
      <c r="O84" s="521"/>
      <c r="P84" s="521"/>
      <c r="Q84" s="521"/>
      <c r="R84" s="521"/>
      <c r="S84" s="521"/>
    </row>
    <row r="85" spans="1:22" x14ac:dyDescent="0.2">
      <c r="M85" s="521"/>
      <c r="N85" s="521"/>
      <c r="O85" s="521"/>
      <c r="P85" s="521"/>
      <c r="Q85" s="521"/>
      <c r="R85" s="521"/>
      <c r="S85" s="521"/>
    </row>
    <row r="86" spans="1:22" ht="15.75" x14ac:dyDescent="0.25">
      <c r="B86" s="98" t="s">
        <v>2870</v>
      </c>
      <c r="C86" s="98" t="s">
        <v>636</v>
      </c>
      <c r="D86" s="98" t="s">
        <v>2871</v>
      </c>
      <c r="E86" s="98" t="s">
        <v>2872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2873</v>
      </c>
      <c r="L86" s="40" t="s">
        <v>2617</v>
      </c>
      <c r="M86" s="5">
        <v>1750652.22</v>
      </c>
      <c r="N86" s="103">
        <v>3</v>
      </c>
      <c r="O86" s="5">
        <f>(((M86)-1)/3)/12</f>
        <v>48629.200555555552</v>
      </c>
      <c r="P86" s="5">
        <v>0</v>
      </c>
      <c r="Q86" s="15">
        <f>O86*V86</f>
        <v>243146.00277777776</v>
      </c>
      <c r="R86" s="15">
        <f>Q86-P86</f>
        <v>243146.00277777776</v>
      </c>
      <c r="S86" s="462">
        <f>M86-Q86</f>
        <v>1507506.2172222221</v>
      </c>
      <c r="T86" s="512">
        <v>18701</v>
      </c>
      <c r="U86" s="492"/>
      <c r="V86" s="44">
        <f>IF((DATEDIF(F86,V$5,"m"))&gt;=36,36,(DATEDIF(F86,V$5,"m")))</f>
        <v>5</v>
      </c>
    </row>
    <row r="87" spans="1:22" ht="15.75" x14ac:dyDescent="0.25">
      <c r="A87" s="677" t="s">
        <v>2874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115">
        <f>SUM(M85:M86)</f>
        <v>1750652.22</v>
      </c>
      <c r="N87" s="422"/>
      <c r="O87" s="115">
        <f>SUM(O85:O86)</f>
        <v>48629.200555555552</v>
      </c>
      <c r="P87" s="115">
        <v>1028.3386666666668</v>
      </c>
      <c r="Q87" s="115">
        <f>SUM(Q85:Q86)</f>
        <v>243146.00277777776</v>
      </c>
      <c r="R87" s="115">
        <f>SUM(R85:R86)</f>
        <v>243146.00277777776</v>
      </c>
      <c r="S87" s="115">
        <f>SUM(S85:S86)</f>
        <v>1507506.2172222221</v>
      </c>
    </row>
    <row r="88" spans="1:22" x14ac:dyDescent="0.2">
      <c r="M88" s="521"/>
      <c r="N88" s="521"/>
      <c r="O88" s="521"/>
      <c r="P88" s="521"/>
      <c r="Q88" s="521"/>
      <c r="R88" s="521"/>
      <c r="S88" s="521"/>
    </row>
    <row r="89" spans="1:22" x14ac:dyDescent="0.2">
      <c r="M89" s="521"/>
      <c r="N89" s="521"/>
      <c r="O89" s="521"/>
      <c r="P89" s="521"/>
      <c r="Q89" s="521"/>
      <c r="R89" s="521"/>
      <c r="S89" s="521"/>
    </row>
    <row r="91" spans="1:22" ht="16.5" thickBot="1" x14ac:dyDescent="0.3">
      <c r="A91" s="22" t="s">
        <v>817</v>
      </c>
      <c r="M91" s="294">
        <f>+M82+M87</f>
        <v>4582210.8392499993</v>
      </c>
      <c r="N91" s="628"/>
      <c r="O91" s="294">
        <f>+O82+O87</f>
        <v>64881.588003055549</v>
      </c>
      <c r="P91" s="294">
        <f>+P82+P87</f>
        <v>1471026.729175417</v>
      </c>
      <c r="Q91" s="294">
        <f>+Q82+Q87</f>
        <v>2695660.7057177774</v>
      </c>
      <c r="R91" s="294">
        <f>+R82+R87</f>
        <v>1225662.3152090276</v>
      </c>
      <c r="S91" s="294">
        <f>+S82+S87</f>
        <v>1886550.1335322221</v>
      </c>
    </row>
    <row r="92" spans="1:22" ht="13.5" thickTop="1" x14ac:dyDescent="0.2">
      <c r="M92" s="508"/>
    </row>
    <row r="93" spans="1:22" x14ac:dyDescent="0.2">
      <c r="M93" s="526"/>
    </row>
    <row r="94" spans="1:22" x14ac:dyDescent="0.2">
      <c r="M94" s="525"/>
    </row>
    <row r="99" spans="13:13" x14ac:dyDescent="0.2">
      <c r="M99" s="654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1009"/>
  <sheetViews>
    <sheetView zoomScaleNormal="100" workbookViewId="0">
      <pane xSplit="2" ySplit="6" topLeftCell="N994" activePane="bottomRight" state="frozen"/>
      <selection sqref="A1:T2"/>
      <selection pane="topRight" sqref="A1:T2"/>
      <selection pane="bottomLeft" sqref="A1:T2"/>
      <selection pane="bottomRight" activeCell="V1007" sqref="V1007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117"/>
    </row>
    <row r="2" spans="1:26" s="118" customFormat="1" ht="20.25" x14ac:dyDescent="0.3">
      <c r="A2" s="680" t="s">
        <v>818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117"/>
    </row>
    <row r="3" spans="1:26" s="118" customFormat="1" ht="20.25" x14ac:dyDescent="0.3">
      <c r="A3" s="680" t="str">
        <f>'Equipos de Producción'!A3:S3</f>
        <v>(Al 30 de Noviembre del 2015)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42338</v>
      </c>
    </row>
    <row r="5" spans="1:26" x14ac:dyDescent="0.25">
      <c r="H5" s="681" t="s">
        <v>819</v>
      </c>
      <c r="I5" s="682"/>
      <c r="J5" s="683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Octubre 2015</v>
      </c>
      <c r="U6" s="10" t="str">
        <f>+'Equipos de Producción'!$T$6</f>
        <v>Deprec. a Registrar Octubre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7">
        <v>0</v>
      </c>
      <c r="S12" s="577">
        <v>2390.42</v>
      </c>
      <c r="T12" s="335">
        <v>2390.42</v>
      </c>
      <c r="U12" s="579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7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7">
        <v>0</v>
      </c>
      <c r="S13" s="577">
        <v>2511</v>
      </c>
      <c r="T13" s="335">
        <v>2511</v>
      </c>
      <c r="U13" s="579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7">
        <v>0</v>
      </c>
      <c r="S15" s="577">
        <v>4919</v>
      </c>
      <c r="T15" s="335">
        <v>4919</v>
      </c>
      <c r="U15" s="579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7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7">
        <v>0</v>
      </c>
      <c r="S18" s="577">
        <v>0</v>
      </c>
      <c r="T18" s="335">
        <v>0</v>
      </c>
      <c r="U18" s="579">
        <f t="shared" si="3"/>
        <v>0</v>
      </c>
      <c r="V18" s="335">
        <f t="shared" si="1"/>
        <v>1</v>
      </c>
      <c r="X18" s="336"/>
      <c r="Y18" s="335"/>
      <c r="Z18" s="647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7">
        <v>0</v>
      </c>
      <c r="S19" s="577">
        <v>4647</v>
      </c>
      <c r="T19" s="335">
        <v>4647</v>
      </c>
      <c r="U19" s="579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7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7">
        <v>1955.6166666666666</v>
      </c>
      <c r="T22" s="335">
        <f t="shared" ref="T22:T23" si="5">Z22*R22</f>
        <v>2133.4</v>
      </c>
      <c r="U22" s="579">
        <f t="shared" si="3"/>
        <v>177.78333333333353</v>
      </c>
      <c r="V22" s="335">
        <f t="shared" si="1"/>
        <v>1</v>
      </c>
      <c r="W22" s="334">
        <v>6098</v>
      </c>
      <c r="X22" s="336"/>
      <c r="Y22" s="335"/>
      <c r="Z22" s="647">
        <f t="shared" si="2"/>
        <v>120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2682.7999999999997</v>
      </c>
      <c r="U23" s="15">
        <f t="shared" si="3"/>
        <v>258.86666666666679</v>
      </c>
      <c r="V23" s="313">
        <f t="shared" si="1"/>
        <v>142.20000000000027</v>
      </c>
      <c r="W23" s="245">
        <v>5817</v>
      </c>
      <c r="X23" s="312"/>
      <c r="Y23" s="313"/>
      <c r="Z23" s="114">
        <f t="shared" si="2"/>
        <v>114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7">
        <v>3742.0166666666664</v>
      </c>
      <c r="T24" s="335">
        <f>Z24*R24</f>
        <v>4082.2</v>
      </c>
      <c r="U24" s="579">
        <f t="shared" si="3"/>
        <v>340.18333333333339</v>
      </c>
      <c r="V24" s="335">
        <f t="shared" si="1"/>
        <v>1</v>
      </c>
      <c r="W24" s="334">
        <v>6098</v>
      </c>
      <c r="X24" s="336"/>
      <c r="Y24" s="335"/>
      <c r="Z24" s="647">
        <f t="shared" si="2"/>
        <v>120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8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7">
        <v>0</v>
      </c>
      <c r="T28" s="335">
        <v>0</v>
      </c>
      <c r="U28" s="579">
        <f t="shared" si="3"/>
        <v>0</v>
      </c>
      <c r="V28" s="335">
        <f t="shared" si="1"/>
        <v>1</v>
      </c>
      <c r="X28" s="336"/>
      <c r="Y28" s="335"/>
      <c r="Z28" s="647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3975</v>
      </c>
      <c r="U54" s="15">
        <f t="shared" si="3"/>
        <v>265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61">
        <v>2911.0000000000005</v>
      </c>
      <c r="T60" s="561">
        <v>2911.0000000000005</v>
      </c>
      <c r="U60" s="562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3996.0000000000005</v>
      </c>
      <c r="U68" s="15">
        <f t="shared" si="3"/>
        <v>266.40000000000009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7">
        <v>0</v>
      </c>
      <c r="T81" s="335">
        <v>0</v>
      </c>
      <c r="U81" s="579">
        <f t="shared" si="11"/>
        <v>0</v>
      </c>
      <c r="V81" s="335">
        <f t="shared" si="9"/>
        <v>1</v>
      </c>
      <c r="X81" s="336"/>
      <c r="Y81" s="335"/>
      <c r="Z81" s="647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7">
        <v>2045.46</v>
      </c>
      <c r="T87" s="577">
        <v>2045.46</v>
      </c>
      <c r="U87" s="579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7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2985</v>
      </c>
      <c r="U90" s="15">
        <f t="shared" si="11"/>
        <v>199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7">
        <v>0</v>
      </c>
      <c r="T92" s="335">
        <v>0</v>
      </c>
      <c r="U92" s="579">
        <f t="shared" si="11"/>
        <v>0</v>
      </c>
      <c r="V92" s="335">
        <f t="shared" si="9"/>
        <v>1</v>
      </c>
      <c r="X92" s="336"/>
      <c r="Y92" s="335"/>
      <c r="Z92" s="647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2985</v>
      </c>
      <c r="U96" s="15">
        <f t="shared" si="11"/>
        <v>199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30" t="s">
        <v>1125</v>
      </c>
      <c r="B119" s="630" t="s">
        <v>1126</v>
      </c>
      <c r="C119" s="630" t="s">
        <v>1127</v>
      </c>
      <c r="D119" s="630" t="s">
        <v>1128</v>
      </c>
      <c r="E119" s="630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2099</v>
      </c>
      <c r="U126" s="15">
        <f t="shared" si="11"/>
        <v>139.93333333333339</v>
      </c>
      <c r="V126" s="313">
        <f t="shared" si="15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7">
        <v>6138.3900000000012</v>
      </c>
      <c r="T147" s="577">
        <v>6138.3900000000012</v>
      </c>
      <c r="U147" s="579">
        <f>T147-S147</f>
        <v>0</v>
      </c>
      <c r="V147" s="335">
        <f t="shared" si="17"/>
        <v>0.99999999999909051</v>
      </c>
      <c r="W147" s="334">
        <v>912</v>
      </c>
      <c r="X147" s="336"/>
      <c r="Y147" s="335"/>
      <c r="Z147" s="647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2908.9319999999998</v>
      </c>
      <c r="U157" s="15">
        <f t="shared" si="19"/>
        <v>273.48933333333343</v>
      </c>
      <c r="V157" s="313">
        <f t="shared" si="17"/>
        <v>75.588000000000193</v>
      </c>
      <c r="W157" s="245">
        <v>3267</v>
      </c>
      <c r="X157" s="312"/>
      <c r="Y157" s="313"/>
      <c r="Z157" s="114">
        <f t="shared" si="18"/>
        <v>117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117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3914</v>
      </c>
      <c r="U222" s="15">
        <f t="shared" si="25"/>
        <v>260.93333333333339</v>
      </c>
      <c r="V222" s="313">
        <f t="shared" si="26"/>
        <v>1</v>
      </c>
      <c r="W222" s="245">
        <v>6898</v>
      </c>
      <c r="X222" s="312"/>
      <c r="Y222" s="313"/>
      <c r="Z222" s="114">
        <f t="shared" si="24"/>
        <v>120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120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9"/>
      <c r="F241" s="649" t="s">
        <v>839</v>
      </c>
      <c r="G241" s="173" t="str">
        <f t="shared" si="27"/>
        <v>25/4/2003</v>
      </c>
      <c r="H241" s="650">
        <v>25</v>
      </c>
      <c r="I241" s="650">
        <v>4</v>
      </c>
      <c r="J241" s="651">
        <v>2003</v>
      </c>
      <c r="K241" s="649" t="s">
        <v>57</v>
      </c>
      <c r="L241" s="651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7">
        <v>2511</v>
      </c>
      <c r="T241" s="577">
        <v>2511</v>
      </c>
      <c r="U241" s="579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7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63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2499</v>
      </c>
      <c r="U258" s="15">
        <f t="shared" si="25"/>
        <v>208.25</v>
      </c>
      <c r="V258" s="313">
        <f t="shared" si="29"/>
        <v>1</v>
      </c>
      <c r="W258" s="245">
        <v>7552</v>
      </c>
      <c r="X258" s="312"/>
      <c r="Y258" s="313"/>
      <c r="Z258" s="114">
        <f t="shared" si="24"/>
        <v>120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120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61">
        <v>0</v>
      </c>
      <c r="T275" s="319">
        <v>0</v>
      </c>
      <c r="U275" s="562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11816.025000000001</v>
      </c>
      <c r="U276" s="15">
        <f t="shared" si="31"/>
        <v>1110.9083333333347</v>
      </c>
      <c r="V276" s="313">
        <f t="shared" si="32"/>
        <v>303.97499999999854</v>
      </c>
      <c r="W276" s="245">
        <v>7989</v>
      </c>
      <c r="X276" s="312"/>
      <c r="Y276" s="313"/>
      <c r="Z276" s="114">
        <f t="shared" si="30"/>
        <v>117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62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62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62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7222.1696666666667</v>
      </c>
      <c r="U285" s="15">
        <f t="shared" si="31"/>
        <v>684.86091666666653</v>
      </c>
      <c r="V285" s="313">
        <f t="shared" si="32"/>
        <v>250.04033333333336</v>
      </c>
      <c r="W285" s="245">
        <v>8031</v>
      </c>
      <c r="X285" s="312"/>
      <c r="Y285" s="313"/>
      <c r="Z285" s="114">
        <f t="shared" si="30"/>
        <v>116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5666.2616666666663</v>
      </c>
      <c r="U286" s="15">
        <f t="shared" si="31"/>
        <v>537.31791666666686</v>
      </c>
      <c r="V286" s="313">
        <f t="shared" si="32"/>
        <v>196.38833333333332</v>
      </c>
      <c r="W286" s="245">
        <v>8017</v>
      </c>
      <c r="X286" s="312"/>
      <c r="Y286" s="313"/>
      <c r="Z286" s="114">
        <f t="shared" si="30"/>
        <v>116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43515.083333333336</v>
      </c>
      <c r="U287" s="15">
        <f t="shared" si="31"/>
        <v>4351.5083333333314</v>
      </c>
      <c r="V287" s="313">
        <f t="shared" si="32"/>
        <v>3956.9166666666642</v>
      </c>
      <c r="W287" s="245">
        <v>8744</v>
      </c>
      <c r="X287" s="312"/>
      <c r="Y287" s="313"/>
      <c r="Z287" s="114">
        <f t="shared" si="30"/>
        <v>110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4144.8768333333337</v>
      </c>
      <c r="U288" s="15">
        <f t="shared" si="31"/>
        <v>426.10883333333368</v>
      </c>
      <c r="V288" s="313">
        <f t="shared" si="32"/>
        <v>504.58316666666633</v>
      </c>
      <c r="W288" s="245">
        <v>9059</v>
      </c>
      <c r="X288" s="312"/>
      <c r="Y288" s="313"/>
      <c r="Z288" s="114">
        <f t="shared" si="30"/>
        <v>107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7104.9783333333326</v>
      </c>
      <c r="U289" s="15">
        <f t="shared" si="31"/>
        <v>730.41833333333307</v>
      </c>
      <c r="V289" s="313">
        <f t="shared" si="32"/>
        <v>864.22166666666726</v>
      </c>
      <c r="W289" s="245">
        <v>8995</v>
      </c>
      <c r="X289" s="312"/>
      <c r="Y289" s="313"/>
      <c r="Z289" s="114">
        <f t="shared" si="30"/>
        <v>107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3569.5800000000004</v>
      </c>
      <c r="U290" s="15">
        <f t="shared" si="31"/>
        <v>363.56833333333361</v>
      </c>
      <c r="V290" s="313">
        <f t="shared" si="32"/>
        <v>397.61999999999944</v>
      </c>
      <c r="X290" s="312"/>
      <c r="Y290" s="313"/>
      <c r="Z290" s="114">
        <f t="shared" si="30"/>
        <v>108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1067.99</v>
      </c>
      <c r="U291" s="15">
        <f t="shared" si="31"/>
        <v>103.05166666666662</v>
      </c>
      <c r="V291" s="313">
        <f t="shared" si="32"/>
        <v>57.210000000000036</v>
      </c>
      <c r="W291" s="245">
        <v>8260</v>
      </c>
      <c r="X291" s="312"/>
      <c r="Y291" s="313"/>
      <c r="Z291" s="114">
        <f t="shared" si="30"/>
        <v>114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5354.8200000000006</v>
      </c>
      <c r="U292" s="15">
        <f t="shared" si="31"/>
        <v>545.39833333333354</v>
      </c>
      <c r="V292" s="313">
        <f t="shared" si="32"/>
        <v>595.97999999999956</v>
      </c>
      <c r="X292" s="312"/>
      <c r="Y292" s="313"/>
      <c r="Z292" s="114">
        <f t="shared" si="30"/>
        <v>108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3569.5800000000004</v>
      </c>
      <c r="U293" s="15">
        <f t="shared" si="31"/>
        <v>363.56833333333361</v>
      </c>
      <c r="V293" s="313">
        <f t="shared" si="32"/>
        <v>397.61999999999944</v>
      </c>
      <c r="X293" s="312"/>
      <c r="Y293" s="313"/>
      <c r="Z293" s="114">
        <f t="shared" si="30"/>
        <v>108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2348.0999999999995</v>
      </c>
      <c r="U294" s="15">
        <f t="shared" si="31"/>
        <v>239.1583333333333</v>
      </c>
      <c r="V294" s="313">
        <f t="shared" si="32"/>
        <v>261.90000000000055</v>
      </c>
      <c r="X294" s="312"/>
      <c r="Y294" s="313"/>
      <c r="Z294" s="114">
        <f t="shared" si="30"/>
        <v>108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5906.9133333333339</v>
      </c>
      <c r="U295" s="15">
        <f t="shared" si="31"/>
        <v>560.13833333333332</v>
      </c>
      <c r="V295" s="313">
        <f t="shared" si="32"/>
        <v>204.6866666666665</v>
      </c>
      <c r="W295" s="245">
        <v>8065</v>
      </c>
      <c r="X295" s="312"/>
      <c r="Y295" s="313"/>
      <c r="Z295" s="114">
        <f t="shared" si="30"/>
        <v>116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2348.0999999999995</v>
      </c>
      <c r="U296" s="15">
        <f t="shared" si="31"/>
        <v>239.1583333333333</v>
      </c>
      <c r="V296" s="313">
        <f t="shared" si="32"/>
        <v>261.90000000000055</v>
      </c>
      <c r="X296" s="312"/>
      <c r="Y296" s="313"/>
      <c r="Z296" s="114">
        <f t="shared" si="30"/>
        <v>108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13161.525000000001</v>
      </c>
      <c r="U297" s="15">
        <f t="shared" si="31"/>
        <v>1237.4083333333347</v>
      </c>
      <c r="V297" s="313">
        <f t="shared" ref="V297:V330" si="37">N297-T297</f>
        <v>338.47499999999854</v>
      </c>
      <c r="W297" s="245">
        <v>7865</v>
      </c>
      <c r="X297" s="312"/>
      <c r="Y297" s="313"/>
      <c r="Z297" s="114">
        <f t="shared" si="30"/>
        <v>117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11933.025000000001</v>
      </c>
      <c r="U298" s="15">
        <f t="shared" si="31"/>
        <v>1121.9083333333347</v>
      </c>
      <c r="V298" s="313">
        <f t="shared" si="37"/>
        <v>306.97499999999854</v>
      </c>
      <c r="W298" s="245">
        <v>7856</v>
      </c>
      <c r="X298" s="312"/>
      <c r="Y298" s="313"/>
      <c r="Z298" s="114">
        <f t="shared" si="30"/>
        <v>117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8945.625</v>
      </c>
      <c r="U299" s="15">
        <f t="shared" si="31"/>
        <v>841.04166666666697</v>
      </c>
      <c r="V299" s="313">
        <f t="shared" si="37"/>
        <v>230.375</v>
      </c>
      <c r="W299" s="245">
        <v>7865</v>
      </c>
      <c r="X299" s="312"/>
      <c r="Y299" s="313"/>
      <c r="Z299" s="114">
        <f t="shared" si="30"/>
        <v>117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v>0</v>
      </c>
      <c r="S303" s="5">
        <v>4048.18166666667</v>
      </c>
      <c r="T303" s="313">
        <v>4082.2</v>
      </c>
      <c r="U303" s="15">
        <v>0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v>0</v>
      </c>
      <c r="S305" s="5">
        <v>482.81666666666666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46065.415000000001</v>
      </c>
      <c r="U310" s="15">
        <f t="shared" si="31"/>
        <v>4606.5414999999994</v>
      </c>
      <c r="V310" s="313">
        <f t="shared" si="37"/>
        <v>4188.7649999999994</v>
      </c>
      <c r="W310" s="201">
        <v>8656</v>
      </c>
      <c r="X310" s="312"/>
      <c r="Y310" s="313"/>
      <c r="Z310" s="114">
        <f t="shared" si="30"/>
        <v>110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5324.3320833333328</v>
      </c>
      <c r="U314" s="15">
        <f t="shared" si="31"/>
        <v>537.31791666666686</v>
      </c>
      <c r="V314" s="313">
        <f t="shared" si="37"/>
        <v>538.31791666666686</v>
      </c>
      <c r="W314" s="245">
        <v>8017</v>
      </c>
      <c r="X314" s="312"/>
      <c r="Y314" s="313"/>
      <c r="Z314" s="114">
        <f t="shared" si="30"/>
        <v>109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3005.75</v>
      </c>
      <c r="U318" s="15">
        <f t="shared" si="31"/>
        <v>300.57500000000027</v>
      </c>
      <c r="V318" s="313">
        <f t="shared" si="37"/>
        <v>274.25</v>
      </c>
      <c r="W318" s="245">
        <v>8740</v>
      </c>
      <c r="X318" s="312"/>
      <c r="Y318" s="313"/>
      <c r="Z318" s="114">
        <f t="shared" si="30"/>
        <v>110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3005.75</v>
      </c>
      <c r="U319" s="15">
        <f t="shared" si="31"/>
        <v>300.57500000000027</v>
      </c>
      <c r="V319" s="313">
        <f t="shared" si="37"/>
        <v>274.25</v>
      </c>
      <c r="W319" s="245">
        <v>8740</v>
      </c>
      <c r="X319" s="312"/>
      <c r="Y319" s="313"/>
      <c r="Z319" s="114">
        <f t="shared" si="30"/>
        <v>110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63199</v>
      </c>
      <c r="U322" s="15">
        <f t="shared" si="31"/>
        <v>5793.2416666666686</v>
      </c>
      <c r="V322" s="313">
        <f t="shared" si="37"/>
        <v>1</v>
      </c>
      <c r="W322" s="245">
        <v>5585</v>
      </c>
      <c r="X322" s="312"/>
      <c r="Y322" s="313"/>
      <c r="Z322" s="114">
        <f t="shared" si="30"/>
        <v>120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2499</v>
      </c>
      <c r="U329" s="15">
        <f>T329-S329</f>
        <v>145.77500000000009</v>
      </c>
      <c r="V329" s="313">
        <f t="shared" si="37"/>
        <v>1</v>
      </c>
      <c r="W329" s="245">
        <v>6832</v>
      </c>
      <c r="X329" s="312"/>
      <c r="Y329" s="313"/>
      <c r="Z329" s="114">
        <f t="shared" si="30"/>
        <v>120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2499</v>
      </c>
      <c r="U330" s="15">
        <f>T330-S330</f>
        <v>145.77500000000009</v>
      </c>
      <c r="V330" s="313">
        <f t="shared" si="37"/>
        <v>1</v>
      </c>
      <c r="W330" s="245">
        <v>6832</v>
      </c>
      <c r="X330" s="312"/>
      <c r="Y330" s="313"/>
      <c r="Z330" s="114">
        <f t="shared" si="30"/>
        <v>120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5391.3284166666672</v>
      </c>
      <c r="S331" s="26">
        <v>2152694.0856666653</v>
      </c>
      <c r="T331" s="26">
        <f t="shared" si="38"/>
        <v>2193498.6522499984</v>
      </c>
      <c r="U331" s="26">
        <f t="shared" si="38"/>
        <v>40762.364916666666</v>
      </c>
      <c r="V331" s="26">
        <f t="shared" si="38"/>
        <v>14924.237749999978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5391.3284166666672</v>
      </c>
      <c r="S333" s="29">
        <v>2152694.0856666653</v>
      </c>
      <c r="T333" s="29">
        <f>T331</f>
        <v>2193498.6522499984</v>
      </c>
      <c r="U333" s="29">
        <f>U331</f>
        <v>40762.364916666666</v>
      </c>
      <c r="V333" s="29">
        <f>V331</f>
        <v>14924.237749999978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3213.3749999999995</v>
      </c>
      <c r="U335" s="15">
        <f t="shared" ref="U335:U398" si="42">T335-S335</f>
        <v>372.07499999999982</v>
      </c>
      <c r="V335" s="313">
        <f t="shared" ref="V335:V366" si="43">N335-T335</f>
        <v>846.62500000000045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95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4223.541666666667</v>
      </c>
      <c r="U336" s="15">
        <f t="shared" si="42"/>
        <v>489.04166666666697</v>
      </c>
      <c r="V336" s="313">
        <f t="shared" si="43"/>
        <v>1112.458333333333</v>
      </c>
      <c r="W336" s="245">
        <v>9257</v>
      </c>
      <c r="X336" s="312"/>
      <c r="Y336" s="313"/>
      <c r="Z336" s="114">
        <f t="shared" si="44"/>
        <v>95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3856.2083333333335</v>
      </c>
      <c r="U337" s="15">
        <f t="shared" si="42"/>
        <v>446.50833333333321</v>
      </c>
      <c r="V337" s="313">
        <f t="shared" si="43"/>
        <v>1015.7916666666665</v>
      </c>
      <c r="W337" s="245">
        <v>9257</v>
      </c>
      <c r="X337" s="312"/>
      <c r="Y337" s="313"/>
      <c r="Z337" s="114">
        <f t="shared" si="44"/>
        <v>95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3856.2083333333335</v>
      </c>
      <c r="U338" s="15">
        <f t="shared" si="42"/>
        <v>446.50833333333321</v>
      </c>
      <c r="V338" s="313">
        <f t="shared" si="43"/>
        <v>1015.7916666666665</v>
      </c>
      <c r="W338" s="245">
        <v>9257</v>
      </c>
      <c r="X338" s="312"/>
      <c r="Y338" s="313"/>
      <c r="Z338" s="114">
        <f t="shared" si="44"/>
        <v>95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2989.3016666666667</v>
      </c>
      <c r="U339" s="15">
        <f t="shared" si="42"/>
        <v>346.12966666666671</v>
      </c>
      <c r="V339" s="313">
        <f t="shared" si="43"/>
        <v>787.6583333333333</v>
      </c>
      <c r="W339" s="245">
        <v>10462</v>
      </c>
      <c r="X339" s="312"/>
      <c r="Y339" s="313"/>
      <c r="Z339" s="114">
        <f t="shared" si="44"/>
        <v>95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2746.8616666666667</v>
      </c>
      <c r="U340" s="15">
        <f t="shared" si="42"/>
        <v>318.05766666666659</v>
      </c>
      <c r="V340" s="313">
        <f t="shared" si="43"/>
        <v>723.85833333333312</v>
      </c>
      <c r="W340" s="245">
        <v>10462</v>
      </c>
      <c r="X340" s="312"/>
      <c r="Y340" s="313"/>
      <c r="Z340" s="114">
        <f t="shared" si="44"/>
        <v>95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2599.9283333333333</v>
      </c>
      <c r="U341" s="15">
        <f t="shared" si="42"/>
        <v>301.04433333333327</v>
      </c>
      <c r="V341" s="313">
        <f t="shared" si="43"/>
        <v>685.19166666666661</v>
      </c>
      <c r="W341" s="245">
        <v>10414</v>
      </c>
      <c r="X341" s="312"/>
      <c r="Y341" s="313"/>
      <c r="Z341" s="114">
        <f t="shared" si="44"/>
        <v>95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2599.9283333333333</v>
      </c>
      <c r="U342" s="15">
        <f t="shared" si="42"/>
        <v>301.04433333333327</v>
      </c>
      <c r="V342" s="313">
        <f t="shared" si="43"/>
        <v>685.19166666666661</v>
      </c>
      <c r="W342" s="245">
        <v>10462</v>
      </c>
      <c r="X342" s="312"/>
      <c r="Y342" s="313"/>
      <c r="Z342" s="114">
        <f t="shared" si="44"/>
        <v>95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2599.9283333333333</v>
      </c>
      <c r="U343" s="15">
        <f t="shared" si="42"/>
        <v>301.04433333333327</v>
      </c>
      <c r="V343" s="313">
        <f t="shared" si="43"/>
        <v>685.19166666666661</v>
      </c>
      <c r="W343" s="245">
        <v>10462</v>
      </c>
      <c r="X343" s="312"/>
      <c r="Y343" s="313"/>
      <c r="Z343" s="114">
        <f t="shared" si="44"/>
        <v>95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2599.9283333333333</v>
      </c>
      <c r="U344" s="15">
        <f t="shared" si="42"/>
        <v>301.04433333333327</v>
      </c>
      <c r="V344" s="313">
        <f t="shared" si="43"/>
        <v>685.19166666666661</v>
      </c>
      <c r="W344" s="245">
        <v>10462</v>
      </c>
      <c r="X344" s="312"/>
      <c r="Y344" s="313"/>
      <c r="Z344" s="114">
        <f t="shared" si="44"/>
        <v>95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4105.9950000000008</v>
      </c>
      <c r="U345" s="15">
        <f t="shared" si="42"/>
        <v>475.43100000000049</v>
      </c>
      <c r="V345" s="313">
        <f t="shared" si="43"/>
        <v>1081.5249999999996</v>
      </c>
      <c r="W345" s="245">
        <v>10394</v>
      </c>
      <c r="X345" s="312"/>
      <c r="Y345" s="313"/>
      <c r="Z345" s="114">
        <f t="shared" si="44"/>
        <v>95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2989.3016666666667</v>
      </c>
      <c r="U346" s="15">
        <f t="shared" si="42"/>
        <v>346.12966666666671</v>
      </c>
      <c r="V346" s="313">
        <f t="shared" si="43"/>
        <v>787.6583333333333</v>
      </c>
      <c r="W346" s="245">
        <v>10394</v>
      </c>
      <c r="X346" s="312"/>
      <c r="Y346" s="313"/>
      <c r="Z346" s="114">
        <f t="shared" si="44"/>
        <v>95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5399.0083333333341</v>
      </c>
      <c r="U347" s="15">
        <f t="shared" si="42"/>
        <v>625.14833333333354</v>
      </c>
      <c r="V347" s="313">
        <f t="shared" si="43"/>
        <v>1421.7916666666661</v>
      </c>
      <c r="W347" s="245">
        <v>10394</v>
      </c>
      <c r="X347" s="312"/>
      <c r="Y347" s="313"/>
      <c r="Z347" s="114">
        <f t="shared" si="44"/>
        <v>95</v>
      </c>
    </row>
    <row r="348" spans="1:26" s="245" customFormat="1" x14ac:dyDescent="0.25">
      <c r="A348" s="97" t="s">
        <v>1634</v>
      </c>
      <c r="B348" s="97" t="s">
        <v>2867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1027.7416666666666</v>
      </c>
      <c r="U348" s="15">
        <f t="shared" si="42"/>
        <v>119.00166666666655</v>
      </c>
      <c r="V348" s="313">
        <f t="shared" si="43"/>
        <v>271.45833333333348</v>
      </c>
      <c r="W348" s="245">
        <v>10394</v>
      </c>
      <c r="X348" s="312"/>
      <c r="Y348" s="313"/>
      <c r="Z348" s="114">
        <f t="shared" si="44"/>
        <v>95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458.375</v>
      </c>
      <c r="U349" s="15">
        <f t="shared" si="42"/>
        <v>53.074999999999989</v>
      </c>
      <c r="V349" s="313">
        <f t="shared" si="43"/>
        <v>121.625</v>
      </c>
      <c r="W349" s="245">
        <v>10394</v>
      </c>
      <c r="X349" s="312"/>
      <c r="Y349" s="313"/>
      <c r="Z349" s="114">
        <f t="shared" si="44"/>
        <v>95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616.32833333333338</v>
      </c>
      <c r="U350" s="15">
        <f t="shared" si="42"/>
        <v>71.36433333333332</v>
      </c>
      <c r="V350" s="313">
        <f t="shared" si="43"/>
        <v>163.19166666666661</v>
      </c>
      <c r="W350" s="245">
        <v>10394</v>
      </c>
      <c r="X350" s="312"/>
      <c r="Y350" s="313"/>
      <c r="Z350" s="114">
        <f t="shared" si="44"/>
        <v>95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70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28419.183333333334</v>
      </c>
      <c r="U351" s="562">
        <f t="shared" si="42"/>
        <v>3189.9083333333328</v>
      </c>
      <c r="V351" s="319">
        <f t="shared" si="43"/>
        <v>6380.8166666666657</v>
      </c>
      <c r="W351" s="318">
        <v>10046</v>
      </c>
      <c r="X351" s="320"/>
      <c r="Y351" s="319"/>
      <c r="Z351" s="155">
        <f t="shared" si="44"/>
        <v>98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28419.183333333334</v>
      </c>
      <c r="U352" s="15">
        <f t="shared" si="42"/>
        <v>3189.9083333333328</v>
      </c>
      <c r="V352" s="313">
        <f t="shared" si="43"/>
        <v>6380.8166666666657</v>
      </c>
      <c r="W352" s="245">
        <v>10046</v>
      </c>
      <c r="X352" s="312"/>
      <c r="Y352" s="313"/>
      <c r="Z352" s="114">
        <f t="shared" si="44"/>
        <v>98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9148.8958333333339</v>
      </c>
      <c r="U353" s="15">
        <f t="shared" si="42"/>
        <v>1059.3458333333328</v>
      </c>
      <c r="V353" s="313">
        <f t="shared" si="43"/>
        <v>2408.6041666666661</v>
      </c>
      <c r="W353" s="245">
        <v>10429</v>
      </c>
      <c r="X353" s="312"/>
      <c r="Y353" s="313"/>
      <c r="Z353" s="114">
        <f t="shared" si="44"/>
        <v>95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3314.3124999999995</v>
      </c>
      <c r="U354" s="15">
        <f t="shared" si="42"/>
        <v>383.76249999999982</v>
      </c>
      <c r="V354" s="335">
        <f t="shared" si="43"/>
        <v>873.18750000000045</v>
      </c>
      <c r="W354" s="334">
        <v>10429</v>
      </c>
      <c r="X354" s="312"/>
      <c r="Y354" s="313"/>
      <c r="Z354" s="114">
        <f t="shared" si="44"/>
        <v>95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8001.6750000000002</v>
      </c>
      <c r="U355" s="15">
        <f t="shared" si="42"/>
        <v>889.07499999999982</v>
      </c>
      <c r="V355" s="313">
        <f t="shared" si="43"/>
        <v>1698.3249999999998</v>
      </c>
      <c r="W355" s="245">
        <v>9901</v>
      </c>
      <c r="X355" s="312"/>
      <c r="Y355" s="313"/>
      <c r="Z355" s="114">
        <f t="shared" si="44"/>
        <v>99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6640.4250000000002</v>
      </c>
      <c r="U356" s="15">
        <f t="shared" si="42"/>
        <v>737.82499999999982</v>
      </c>
      <c r="V356" s="313">
        <f t="shared" si="43"/>
        <v>1409.5749999999998</v>
      </c>
      <c r="W356" s="245">
        <v>9901</v>
      </c>
      <c r="X356" s="312"/>
      <c r="Y356" s="313"/>
      <c r="Z356" s="114">
        <f t="shared" si="44"/>
        <v>99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5675.1749999999993</v>
      </c>
      <c r="U357" s="15">
        <f t="shared" si="42"/>
        <v>630.57499999999982</v>
      </c>
      <c r="V357" s="313">
        <f t="shared" si="43"/>
        <v>1204.8250000000007</v>
      </c>
      <c r="W357" s="245">
        <v>9901</v>
      </c>
      <c r="X357" s="312"/>
      <c r="Y357" s="313"/>
      <c r="Z357" s="114">
        <f t="shared" si="44"/>
        <v>99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3109.4249999999997</v>
      </c>
      <c r="U358" s="15">
        <f t="shared" si="42"/>
        <v>345.49166666666633</v>
      </c>
      <c r="V358" s="313">
        <f t="shared" si="43"/>
        <v>660.57500000000027</v>
      </c>
      <c r="W358" s="245">
        <v>9901</v>
      </c>
      <c r="X358" s="312"/>
      <c r="Y358" s="313"/>
      <c r="Z358" s="114">
        <f t="shared" si="44"/>
        <v>99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4623.666666666667</v>
      </c>
      <c r="U359" s="15">
        <f t="shared" si="42"/>
        <v>489.04166666666697</v>
      </c>
      <c r="V359" s="313">
        <f t="shared" si="43"/>
        <v>712.33333333333303</v>
      </c>
      <c r="W359" s="245">
        <v>9493</v>
      </c>
      <c r="X359" s="312"/>
      <c r="Y359" s="313"/>
      <c r="Z359" s="114">
        <f t="shared" si="44"/>
        <v>104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3618.333333333333</v>
      </c>
      <c r="U360" s="15">
        <f t="shared" si="42"/>
        <v>382.70833333333303</v>
      </c>
      <c r="V360" s="313">
        <f t="shared" si="43"/>
        <v>557.66666666666697</v>
      </c>
      <c r="W360" s="245">
        <v>9493</v>
      </c>
      <c r="X360" s="312"/>
      <c r="Y360" s="313"/>
      <c r="Z360" s="114">
        <f t="shared" si="44"/>
        <v>104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19064.674999999999</v>
      </c>
      <c r="U361" s="15">
        <f t="shared" si="42"/>
        <v>2097.1142499999987</v>
      </c>
      <c r="V361" s="313">
        <f t="shared" si="43"/>
        <v>3813.9350000000013</v>
      </c>
      <c r="W361" s="245">
        <v>9777</v>
      </c>
      <c r="X361" s="312"/>
      <c r="Y361" s="313"/>
      <c r="Z361" s="114">
        <f t="shared" si="44"/>
        <v>100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33274.424666666666</v>
      </c>
      <c r="U362" s="15">
        <f t="shared" si="42"/>
        <v>3553.5793333333349</v>
      </c>
      <c r="V362" s="313">
        <f t="shared" si="43"/>
        <v>5492.8953333333338</v>
      </c>
      <c r="W362" s="245">
        <v>9897</v>
      </c>
      <c r="X362" s="312"/>
      <c r="Y362" s="313"/>
      <c r="Z362" s="114">
        <f t="shared" si="44"/>
        <v>103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8539.6098333333339</v>
      </c>
      <c r="U363" s="15">
        <f t="shared" si="42"/>
        <v>911.997166666667</v>
      </c>
      <c r="V363" s="313">
        <f t="shared" si="43"/>
        <v>1410.4501666666656</v>
      </c>
      <c r="W363" s="245">
        <v>9897</v>
      </c>
      <c r="X363" s="312"/>
      <c r="Y363" s="313"/>
      <c r="Z363" s="114">
        <f t="shared" si="44"/>
        <v>103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8539.6098333333339</v>
      </c>
      <c r="U364" s="15">
        <f t="shared" si="42"/>
        <v>911.997166666667</v>
      </c>
      <c r="V364" s="313">
        <f t="shared" si="43"/>
        <v>1410.4501666666656</v>
      </c>
      <c r="W364" s="245">
        <v>9897</v>
      </c>
      <c r="X364" s="312"/>
      <c r="Y364" s="313"/>
      <c r="Z364" s="114">
        <f t="shared" si="44"/>
        <v>103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2564.7171666666668</v>
      </c>
      <c r="U365" s="15">
        <f t="shared" si="42"/>
        <v>273.90183333333334</v>
      </c>
      <c r="V365" s="313">
        <f t="shared" si="43"/>
        <v>424.30283333333318</v>
      </c>
      <c r="W365" s="245">
        <v>9897</v>
      </c>
      <c r="X365" s="312"/>
      <c r="Y365" s="313"/>
      <c r="Z365" s="114">
        <f t="shared" si="44"/>
        <v>103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4106.6185833333329</v>
      </c>
      <c r="U366" s="15">
        <f t="shared" si="42"/>
        <v>438.57091666666611</v>
      </c>
      <c r="V366" s="313">
        <f t="shared" si="43"/>
        <v>678.79141666666692</v>
      </c>
      <c r="W366" s="245">
        <v>9897</v>
      </c>
      <c r="X366" s="312"/>
      <c r="Y366" s="313"/>
      <c r="Z366" s="114">
        <f t="shared" si="44"/>
        <v>103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4500.7738333333327</v>
      </c>
      <c r="U367" s="15">
        <f t="shared" si="42"/>
        <v>480.66516666666621</v>
      </c>
      <c r="V367" s="313">
        <f t="shared" ref="V367:V398" si="48">N367-T367</f>
        <v>743.84616666666716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103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3953.5833333333335</v>
      </c>
      <c r="U368" s="15">
        <f t="shared" si="42"/>
        <v>457.7833333333333</v>
      </c>
      <c r="V368" s="313">
        <f t="shared" si="48"/>
        <v>1041.4166666666665</v>
      </c>
      <c r="W368" s="245">
        <v>98</v>
      </c>
      <c r="X368" s="312"/>
      <c r="Y368" s="313"/>
      <c r="Z368" s="114">
        <f t="shared" si="49"/>
        <v>95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4824.4166666666661</v>
      </c>
      <c r="U369" s="15">
        <f t="shared" si="42"/>
        <v>558.61666666666588</v>
      </c>
      <c r="V369" s="313">
        <f t="shared" si="48"/>
        <v>1270.5833333333339</v>
      </c>
      <c r="W369" s="245">
        <v>98</v>
      </c>
      <c r="X369" s="312"/>
      <c r="Y369" s="313"/>
      <c r="Z369" s="114">
        <f t="shared" si="49"/>
        <v>95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32499.133333333335</v>
      </c>
      <c r="U370" s="15">
        <f t="shared" si="42"/>
        <v>3437.4083333333328</v>
      </c>
      <c r="V370" s="346">
        <f t="shared" si="48"/>
        <v>5000.866666666665</v>
      </c>
      <c r="W370" s="345">
        <v>9382</v>
      </c>
      <c r="X370" s="347"/>
      <c r="Y370" s="346"/>
      <c r="Z370" s="95">
        <f t="shared" si="49"/>
        <v>104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806.79750000000013</v>
      </c>
      <c r="U371" s="15">
        <f t="shared" si="42"/>
        <v>91.492500000000064</v>
      </c>
      <c r="V371" s="313">
        <f t="shared" si="48"/>
        <v>192.3024999999999</v>
      </c>
      <c r="X371" s="312"/>
      <c r="Y371" s="313"/>
      <c r="Z371" s="114">
        <f t="shared" si="49"/>
        <v>97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806.79750000000013</v>
      </c>
      <c r="U372" s="15">
        <f t="shared" si="42"/>
        <v>91.492500000000064</v>
      </c>
      <c r="V372" s="313">
        <f t="shared" si="48"/>
        <v>192.3024999999999</v>
      </c>
      <c r="X372" s="312"/>
      <c r="Y372" s="313"/>
      <c r="Z372" s="114">
        <f t="shared" si="49"/>
        <v>97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806.79750000000013</v>
      </c>
      <c r="U373" s="15">
        <f t="shared" si="42"/>
        <v>91.492500000000064</v>
      </c>
      <c r="V373" s="313">
        <f t="shared" si="48"/>
        <v>192.3024999999999</v>
      </c>
      <c r="X373" s="312"/>
      <c r="Y373" s="313"/>
      <c r="Z373" s="114">
        <f t="shared" si="49"/>
        <v>97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806.79750000000013</v>
      </c>
      <c r="U374" s="15">
        <f t="shared" si="42"/>
        <v>91.492500000000064</v>
      </c>
      <c r="V374" s="313">
        <f t="shared" si="48"/>
        <v>192.3024999999999</v>
      </c>
      <c r="X374" s="312"/>
      <c r="Y374" s="313"/>
      <c r="Z374" s="114">
        <f t="shared" si="49"/>
        <v>97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806.79750000000013</v>
      </c>
      <c r="U375" s="15">
        <f t="shared" si="42"/>
        <v>91.492500000000064</v>
      </c>
      <c r="V375" s="313">
        <f t="shared" si="48"/>
        <v>192.3024999999999</v>
      </c>
      <c r="X375" s="312"/>
      <c r="Y375" s="313"/>
      <c r="Z375" s="114">
        <f t="shared" si="49"/>
        <v>97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806.79750000000013</v>
      </c>
      <c r="U376" s="15">
        <f t="shared" si="42"/>
        <v>91.492500000000064</v>
      </c>
      <c r="V376" s="313">
        <f t="shared" si="48"/>
        <v>192.3024999999999</v>
      </c>
      <c r="X376" s="312"/>
      <c r="Y376" s="313"/>
      <c r="Z376" s="114">
        <f t="shared" si="49"/>
        <v>97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806.79750000000013</v>
      </c>
      <c r="U377" s="15">
        <f t="shared" si="42"/>
        <v>91.492500000000064</v>
      </c>
      <c r="V377" s="313">
        <f t="shared" si="48"/>
        <v>192.3024999999999</v>
      </c>
      <c r="X377" s="312"/>
      <c r="Y377" s="313"/>
      <c r="Z377" s="114">
        <f t="shared" si="49"/>
        <v>97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806.79750000000013</v>
      </c>
      <c r="U378" s="15">
        <f t="shared" si="42"/>
        <v>91.492500000000064</v>
      </c>
      <c r="V378" s="313">
        <f t="shared" si="48"/>
        <v>192.3024999999999</v>
      </c>
      <c r="X378" s="312"/>
      <c r="Y378" s="313"/>
      <c r="Z378" s="114">
        <f t="shared" si="49"/>
        <v>97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806.79750000000013</v>
      </c>
      <c r="U379" s="15">
        <f t="shared" si="42"/>
        <v>91.492500000000064</v>
      </c>
      <c r="V379" s="313">
        <f t="shared" si="48"/>
        <v>192.3024999999999</v>
      </c>
      <c r="X379" s="312"/>
      <c r="Y379" s="313"/>
      <c r="Z379" s="114">
        <f t="shared" si="49"/>
        <v>97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806.79750000000013</v>
      </c>
      <c r="U380" s="15">
        <f t="shared" si="42"/>
        <v>91.492500000000064</v>
      </c>
      <c r="V380" s="313">
        <f t="shared" si="48"/>
        <v>192.3024999999999</v>
      </c>
      <c r="X380" s="312"/>
      <c r="Y380" s="313"/>
      <c r="Z380" s="114">
        <f t="shared" si="49"/>
        <v>97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806.79750000000013</v>
      </c>
      <c r="U381" s="15">
        <f t="shared" si="42"/>
        <v>91.492500000000064</v>
      </c>
      <c r="V381" s="313">
        <f t="shared" si="48"/>
        <v>192.3024999999999</v>
      </c>
      <c r="X381" s="312"/>
      <c r="Y381" s="313"/>
      <c r="Z381" s="114">
        <f t="shared" si="49"/>
        <v>97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806.79750000000013</v>
      </c>
      <c r="U382" s="15">
        <f t="shared" si="42"/>
        <v>91.492500000000064</v>
      </c>
      <c r="V382" s="313">
        <f t="shared" si="48"/>
        <v>192.3024999999999</v>
      </c>
      <c r="X382" s="312"/>
      <c r="Y382" s="313"/>
      <c r="Z382" s="114">
        <f t="shared" si="49"/>
        <v>97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806.79750000000013</v>
      </c>
      <c r="U383" s="15">
        <f t="shared" si="42"/>
        <v>91.492500000000064</v>
      </c>
      <c r="V383" s="313">
        <f t="shared" si="48"/>
        <v>192.3024999999999</v>
      </c>
      <c r="X383" s="312"/>
      <c r="Y383" s="313"/>
      <c r="Z383" s="114">
        <f t="shared" si="49"/>
        <v>97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806.79750000000013</v>
      </c>
      <c r="U384" s="15">
        <f t="shared" si="42"/>
        <v>91.492500000000064</v>
      </c>
      <c r="V384" s="313">
        <f t="shared" si="48"/>
        <v>192.3024999999999</v>
      </c>
      <c r="X384" s="312"/>
      <c r="Y384" s="313"/>
      <c r="Z384" s="114">
        <f t="shared" si="49"/>
        <v>97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806.79750000000013</v>
      </c>
      <c r="U385" s="15">
        <f t="shared" si="42"/>
        <v>91.492500000000064</v>
      </c>
      <c r="V385" s="313">
        <f t="shared" si="48"/>
        <v>192.3024999999999</v>
      </c>
      <c r="X385" s="312"/>
      <c r="Y385" s="313"/>
      <c r="Z385" s="114">
        <f t="shared" si="49"/>
        <v>97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806.79750000000013</v>
      </c>
      <c r="U386" s="15">
        <f t="shared" si="42"/>
        <v>91.492500000000064</v>
      </c>
      <c r="V386" s="313">
        <f t="shared" si="48"/>
        <v>192.3024999999999</v>
      </c>
      <c r="X386" s="312"/>
      <c r="Y386" s="313"/>
      <c r="Z386" s="114">
        <f t="shared" si="49"/>
        <v>97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806.79750000000013</v>
      </c>
      <c r="U387" s="15">
        <f t="shared" si="42"/>
        <v>91.492500000000064</v>
      </c>
      <c r="V387" s="313">
        <f t="shared" si="48"/>
        <v>192.3024999999999</v>
      </c>
      <c r="X387" s="312"/>
      <c r="Y387" s="313"/>
      <c r="Z387" s="114">
        <f t="shared" si="49"/>
        <v>97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806.79750000000013</v>
      </c>
      <c r="U388" s="15">
        <f t="shared" si="42"/>
        <v>91.492500000000064</v>
      </c>
      <c r="V388" s="313">
        <f t="shared" si="48"/>
        <v>192.3024999999999</v>
      </c>
      <c r="X388" s="312"/>
      <c r="Y388" s="313"/>
      <c r="Z388" s="114">
        <f t="shared" si="49"/>
        <v>97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806.79750000000013</v>
      </c>
      <c r="U389" s="15">
        <f t="shared" si="42"/>
        <v>91.492500000000064</v>
      </c>
      <c r="V389" s="313">
        <f t="shared" si="48"/>
        <v>192.3024999999999</v>
      </c>
      <c r="X389" s="312"/>
      <c r="Y389" s="313"/>
      <c r="Z389" s="114">
        <f t="shared" si="49"/>
        <v>97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806.79750000000013</v>
      </c>
      <c r="U390" s="15">
        <f t="shared" si="42"/>
        <v>91.492500000000064</v>
      </c>
      <c r="V390" s="313">
        <f t="shared" si="48"/>
        <v>192.3024999999999</v>
      </c>
      <c r="X390" s="312"/>
      <c r="Y390" s="313"/>
      <c r="Z390" s="114">
        <f t="shared" si="49"/>
        <v>97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1615.8583333333336</v>
      </c>
      <c r="U391" s="15">
        <f t="shared" si="42"/>
        <v>183.24166666666679</v>
      </c>
      <c r="V391" s="313">
        <f t="shared" si="48"/>
        <v>384.14166666666642</v>
      </c>
      <c r="X391" s="312"/>
      <c r="Y391" s="313"/>
      <c r="Z391" s="114">
        <f t="shared" si="49"/>
        <v>97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1615.8583333333336</v>
      </c>
      <c r="U392" s="15">
        <f t="shared" si="42"/>
        <v>183.24166666666679</v>
      </c>
      <c r="V392" s="313">
        <f t="shared" si="48"/>
        <v>384.14166666666642</v>
      </c>
      <c r="X392" s="312"/>
      <c r="Y392" s="313"/>
      <c r="Z392" s="114">
        <f t="shared" si="49"/>
        <v>97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1615.8583333333336</v>
      </c>
      <c r="U393" s="15">
        <f t="shared" si="42"/>
        <v>183.24166666666679</v>
      </c>
      <c r="V393" s="313">
        <f t="shared" si="48"/>
        <v>384.14166666666642</v>
      </c>
      <c r="X393" s="312"/>
      <c r="Y393" s="313"/>
      <c r="Z393" s="114">
        <f t="shared" si="49"/>
        <v>97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1615.8583333333336</v>
      </c>
      <c r="U394" s="15">
        <f t="shared" si="42"/>
        <v>183.24166666666679</v>
      </c>
      <c r="V394" s="313">
        <f t="shared" si="48"/>
        <v>384.14166666666642</v>
      </c>
      <c r="X394" s="312"/>
      <c r="Y394" s="313"/>
      <c r="Z394" s="114">
        <f t="shared" si="49"/>
        <v>97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1615.8583333333336</v>
      </c>
      <c r="U395" s="15">
        <f t="shared" si="42"/>
        <v>183.24166666666679</v>
      </c>
      <c r="V395" s="313">
        <f t="shared" si="48"/>
        <v>384.14166666666642</v>
      </c>
      <c r="X395" s="312"/>
      <c r="Y395" s="313"/>
      <c r="Z395" s="114">
        <f t="shared" si="49"/>
        <v>97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1615.8583333333336</v>
      </c>
      <c r="U396" s="15">
        <f t="shared" si="42"/>
        <v>183.24166666666679</v>
      </c>
      <c r="V396" s="313">
        <f t="shared" si="48"/>
        <v>384.14166666666642</v>
      </c>
      <c r="X396" s="312"/>
      <c r="Y396" s="313"/>
      <c r="Z396" s="114">
        <f t="shared" si="49"/>
        <v>97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1615.8583333333336</v>
      </c>
      <c r="U397" s="15">
        <f t="shared" si="42"/>
        <v>183.24166666666679</v>
      </c>
      <c r="V397" s="313">
        <f t="shared" si="48"/>
        <v>384.14166666666642</v>
      </c>
      <c r="X397" s="312"/>
      <c r="Y397" s="313"/>
      <c r="Z397" s="114">
        <f t="shared" si="49"/>
        <v>97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1615.8583333333336</v>
      </c>
      <c r="U398" s="15">
        <f t="shared" si="42"/>
        <v>183.24166666666679</v>
      </c>
      <c r="V398" s="313">
        <f t="shared" si="48"/>
        <v>384.14166666666642</v>
      </c>
      <c r="X398" s="312"/>
      <c r="Y398" s="313"/>
      <c r="Z398" s="114">
        <f t="shared" si="49"/>
        <v>97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1615.8583333333336</v>
      </c>
      <c r="U399" s="15">
        <f t="shared" ref="U399:U410" si="53">T399-S399</f>
        <v>183.24166666666679</v>
      </c>
      <c r="V399" s="313">
        <f t="shared" ref="V399:V410" si="54">N399-T399</f>
        <v>384.14166666666642</v>
      </c>
      <c r="X399" s="312"/>
      <c r="Y399" s="313"/>
      <c r="Z399" s="114">
        <f t="shared" ref="Z399:Z410" si="55">IF((DATEDIF(G399,Z$4,"m"))&gt;=120,120,(DATEDIF(G399,Z$4,"m")))</f>
        <v>97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1615.8583333333336</v>
      </c>
      <c r="U400" s="15">
        <f t="shared" si="53"/>
        <v>183.24166666666679</v>
      </c>
      <c r="V400" s="313">
        <f t="shared" si="54"/>
        <v>384.14166666666642</v>
      </c>
      <c r="X400" s="312"/>
      <c r="Y400" s="313"/>
      <c r="Z400" s="114">
        <f t="shared" si="55"/>
        <v>97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3528.6033333333326</v>
      </c>
      <c r="U401" s="15">
        <f t="shared" si="53"/>
        <v>384.30333333333328</v>
      </c>
      <c r="V401" s="313">
        <f t="shared" si="54"/>
        <v>664.79666666666708</v>
      </c>
      <c r="W401" s="245">
        <v>9683</v>
      </c>
      <c r="X401" s="312"/>
      <c r="Y401" s="313"/>
      <c r="Z401" s="114">
        <f t="shared" si="55"/>
        <v>101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3528.6033333333326</v>
      </c>
      <c r="U402" s="15">
        <f t="shared" si="53"/>
        <v>384.30333333333328</v>
      </c>
      <c r="V402" s="313">
        <f t="shared" si="54"/>
        <v>664.79666666666708</v>
      </c>
      <c r="W402" s="245">
        <v>9683</v>
      </c>
      <c r="X402" s="312"/>
      <c r="Y402" s="313"/>
      <c r="Z402" s="114">
        <f t="shared" si="55"/>
        <v>101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3528.6033333333326</v>
      </c>
      <c r="U403" s="15">
        <f t="shared" si="53"/>
        <v>384.30333333333328</v>
      </c>
      <c r="V403" s="313">
        <f t="shared" si="54"/>
        <v>664.79666666666708</v>
      </c>
      <c r="W403" s="245">
        <v>9683</v>
      </c>
      <c r="X403" s="312"/>
      <c r="Y403" s="313"/>
      <c r="Z403" s="114">
        <f t="shared" si="55"/>
        <v>101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1682.4495833333335</v>
      </c>
      <c r="U404" s="15">
        <f t="shared" si="53"/>
        <v>183.23708333333343</v>
      </c>
      <c r="V404" s="313">
        <f t="shared" si="54"/>
        <v>317.50041666666652</v>
      </c>
      <c r="W404" s="245">
        <v>9714</v>
      </c>
      <c r="X404" s="312"/>
      <c r="Y404" s="313"/>
      <c r="Z404" s="114">
        <f t="shared" si="55"/>
        <v>101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6086.88</v>
      </c>
      <c r="U405" s="15">
        <f t="shared" si="53"/>
        <v>697.45499999999993</v>
      </c>
      <c r="V405" s="313">
        <f t="shared" si="54"/>
        <v>1522.7200000000003</v>
      </c>
      <c r="W405" s="245">
        <v>10391</v>
      </c>
      <c r="X405" s="312"/>
      <c r="Y405" s="313"/>
      <c r="Z405" s="114">
        <f t="shared" si="55"/>
        <v>96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3191.5199999999995</v>
      </c>
      <c r="U406" s="15">
        <f t="shared" si="53"/>
        <v>365.69499999999971</v>
      </c>
      <c r="V406" s="313">
        <f t="shared" si="54"/>
        <v>798.88000000000056</v>
      </c>
      <c r="W406" s="245">
        <v>10391</v>
      </c>
      <c r="X406" s="312"/>
      <c r="Y406" s="313"/>
      <c r="Z406" s="114">
        <f t="shared" si="55"/>
        <v>96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644.24250000000006</v>
      </c>
      <c r="U407" s="15">
        <f t="shared" si="53"/>
        <v>74.596499999999992</v>
      </c>
      <c r="V407" s="313">
        <f t="shared" si="54"/>
        <v>170.53749999999991</v>
      </c>
      <c r="W407" s="245">
        <v>10414</v>
      </c>
      <c r="X407" s="312"/>
      <c r="Y407" s="313"/>
      <c r="Z407" s="114">
        <f t="shared" si="55"/>
        <v>95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644.24250000000006</v>
      </c>
      <c r="U408" s="15">
        <f t="shared" si="53"/>
        <v>74.596499999999992</v>
      </c>
      <c r="V408" s="313">
        <f t="shared" si="54"/>
        <v>170.53749999999991</v>
      </c>
      <c r="W408" s="245">
        <v>10414</v>
      </c>
      <c r="X408" s="312"/>
      <c r="Y408" s="313"/>
      <c r="Z408" s="114">
        <f t="shared" si="55"/>
        <v>95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644.24250000000006</v>
      </c>
      <c r="U409" s="15">
        <f t="shared" si="53"/>
        <v>74.596499999999992</v>
      </c>
      <c r="V409" s="313">
        <f t="shared" si="54"/>
        <v>170.53749999999991</v>
      </c>
      <c r="W409" s="245">
        <v>10414</v>
      </c>
      <c r="X409" s="312"/>
      <c r="Y409" s="313"/>
      <c r="Z409" s="114">
        <f t="shared" si="55"/>
        <v>95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3237.7424999999998</v>
      </c>
      <c r="U410" s="15">
        <f t="shared" si="53"/>
        <v>374.89649999999983</v>
      </c>
      <c r="V410" s="313">
        <f t="shared" si="54"/>
        <v>853.03750000000036</v>
      </c>
      <c r="W410" s="245">
        <v>10394</v>
      </c>
      <c r="X410" s="312"/>
      <c r="Y410" s="313"/>
      <c r="Z410" s="114">
        <f t="shared" si="55"/>
        <v>95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327731.46016666637</v>
      </c>
      <c r="U411" s="26">
        <f t="shared" si="56"/>
        <v>36392.173583333351</v>
      </c>
      <c r="V411" s="26">
        <f t="shared" si="56"/>
        <v>69350.069833333284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8699.7078333333357</v>
      </c>
      <c r="S413" s="29">
        <v>2444033.3722499986</v>
      </c>
      <c r="T413" s="29">
        <f t="shared" si="57"/>
        <v>2521230.1124166646</v>
      </c>
      <c r="U413" s="29">
        <f t="shared" si="57"/>
        <v>77154.538500000024</v>
      </c>
      <c r="V413" s="29">
        <f t="shared" si="57"/>
        <v>84274.307583333255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29076.55</v>
      </c>
      <c r="U415" s="15">
        <f t="shared" ref="U415:U478" si="61">T415-S415</f>
        <v>3402.5750000000007</v>
      </c>
      <c r="V415" s="313">
        <f t="shared" ref="V415:V478" si="62">N415-T415</f>
        <v>8043.4500000000007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94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3608.1480000000001</v>
      </c>
      <c r="U416" s="15">
        <f t="shared" si="61"/>
        <v>431.40900000000011</v>
      </c>
      <c r="V416" s="313">
        <f t="shared" si="62"/>
        <v>1099.1319999999996</v>
      </c>
      <c r="W416" s="245">
        <v>10793</v>
      </c>
      <c r="X416" s="312"/>
      <c r="Y416" s="313"/>
      <c r="Z416" s="114">
        <f t="shared" si="63"/>
        <v>92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3080.773333333334</v>
      </c>
      <c r="U417" s="15">
        <f t="shared" si="61"/>
        <v>368.35333333333347</v>
      </c>
      <c r="V417" s="313">
        <f t="shared" si="62"/>
        <v>938.6266666666661</v>
      </c>
      <c r="W417" s="245">
        <v>10793</v>
      </c>
      <c r="X417" s="312"/>
      <c r="Y417" s="313"/>
      <c r="Z417" s="114">
        <f t="shared" si="63"/>
        <v>92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878.78399999999999</v>
      </c>
      <c r="U418" s="15">
        <f t="shared" si="61"/>
        <v>105.072</v>
      </c>
      <c r="V418" s="313">
        <f t="shared" si="62"/>
        <v>268.45600000000002</v>
      </c>
      <c r="W418" s="245">
        <v>10793</v>
      </c>
      <c r="X418" s="312"/>
      <c r="Y418" s="313"/>
      <c r="Z418" s="114">
        <f t="shared" si="63"/>
        <v>92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878.78399999999999</v>
      </c>
      <c r="U419" s="15">
        <f t="shared" si="61"/>
        <v>105.072</v>
      </c>
      <c r="V419" s="313">
        <f t="shared" si="62"/>
        <v>268.45600000000002</v>
      </c>
      <c r="W419" s="245">
        <v>10793</v>
      </c>
      <c r="X419" s="312"/>
      <c r="Y419" s="313"/>
      <c r="Z419" s="114">
        <f t="shared" si="63"/>
        <v>92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4209.3373333333338</v>
      </c>
      <c r="U420" s="15">
        <f t="shared" si="61"/>
        <v>503.29033333333382</v>
      </c>
      <c r="V420" s="313">
        <f t="shared" si="62"/>
        <v>1282.1026666666658</v>
      </c>
      <c r="W420" s="245">
        <v>10793</v>
      </c>
      <c r="X420" s="312"/>
      <c r="Y420" s="313"/>
      <c r="Z420" s="114">
        <f t="shared" si="63"/>
        <v>92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4209.3373333333338</v>
      </c>
      <c r="U421" s="15">
        <f t="shared" si="61"/>
        <v>503.29033333333382</v>
      </c>
      <c r="V421" s="313">
        <f t="shared" si="62"/>
        <v>1282.1026666666658</v>
      </c>
      <c r="W421" s="245">
        <v>10793</v>
      </c>
      <c r="X421" s="312"/>
      <c r="Y421" s="313"/>
      <c r="Z421" s="114">
        <f t="shared" si="63"/>
        <v>92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4656.6720000000005</v>
      </c>
      <c r="U422" s="15">
        <f t="shared" si="61"/>
        <v>556.77599999999984</v>
      </c>
      <c r="V422" s="313">
        <f t="shared" si="62"/>
        <v>1418.2479999999996</v>
      </c>
      <c r="W422" s="245">
        <v>10793</v>
      </c>
      <c r="X422" s="312"/>
      <c r="Y422" s="313"/>
      <c r="Z422" s="114">
        <f t="shared" si="63"/>
        <v>92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4656.6720000000005</v>
      </c>
      <c r="U423" s="15">
        <f t="shared" si="61"/>
        <v>556.77599999999984</v>
      </c>
      <c r="V423" s="313">
        <f t="shared" si="62"/>
        <v>1418.2479999999996</v>
      </c>
      <c r="W423" s="245">
        <v>10793</v>
      </c>
      <c r="X423" s="312"/>
      <c r="Y423" s="313"/>
      <c r="Z423" s="114">
        <f t="shared" si="63"/>
        <v>92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4656.6720000000005</v>
      </c>
      <c r="U424" s="15">
        <f t="shared" si="61"/>
        <v>556.77599999999984</v>
      </c>
      <c r="V424" s="313">
        <f t="shared" si="62"/>
        <v>1418.2479999999996</v>
      </c>
      <c r="W424" s="245">
        <v>10793</v>
      </c>
      <c r="X424" s="312"/>
      <c r="Y424" s="313"/>
      <c r="Z424" s="114">
        <f t="shared" si="63"/>
        <v>92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459.90799999999996</v>
      </c>
      <c r="U425" s="15">
        <f t="shared" si="61"/>
        <v>54.988999999999976</v>
      </c>
      <c r="V425" s="135">
        <f t="shared" si="62"/>
        <v>140.97200000000004</v>
      </c>
      <c r="W425" s="103">
        <v>10793</v>
      </c>
      <c r="X425" s="136"/>
      <c r="Y425" s="135"/>
      <c r="Z425" s="114">
        <f t="shared" si="63"/>
        <v>92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459.90799999999996</v>
      </c>
      <c r="U426" s="15">
        <f t="shared" si="61"/>
        <v>54.988999999999976</v>
      </c>
      <c r="V426" s="135">
        <f t="shared" si="62"/>
        <v>140.97200000000004</v>
      </c>
      <c r="W426" s="103">
        <v>10793</v>
      </c>
      <c r="X426" s="136"/>
      <c r="Y426" s="135"/>
      <c r="Z426" s="114">
        <f t="shared" si="63"/>
        <v>92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459.90799999999996</v>
      </c>
      <c r="U427" s="15">
        <f t="shared" si="61"/>
        <v>54.988999999999976</v>
      </c>
      <c r="V427" s="135">
        <f t="shared" si="62"/>
        <v>140.97200000000004</v>
      </c>
      <c r="W427" s="103">
        <v>10793</v>
      </c>
      <c r="X427" s="136"/>
      <c r="Y427" s="135"/>
      <c r="Z427" s="114">
        <f t="shared" si="63"/>
        <v>92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459.90799999999996</v>
      </c>
      <c r="U428" s="15">
        <f t="shared" si="61"/>
        <v>54.988999999999976</v>
      </c>
      <c r="V428" s="135">
        <f t="shared" si="62"/>
        <v>140.97200000000004</v>
      </c>
      <c r="W428" s="103">
        <v>10793</v>
      </c>
      <c r="X428" s="136"/>
      <c r="Y428" s="135"/>
      <c r="Z428" s="114">
        <f t="shared" si="63"/>
        <v>92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1208.7266666666667</v>
      </c>
      <c r="U429" s="15">
        <f t="shared" si="61"/>
        <v>144.52166666666676</v>
      </c>
      <c r="V429" s="143">
        <f t="shared" si="62"/>
        <v>368.87333333333322</v>
      </c>
      <c r="W429" s="141">
        <v>10793</v>
      </c>
      <c r="X429" s="144"/>
      <c r="Y429" s="143"/>
      <c r="Z429" s="145">
        <f t="shared" si="63"/>
        <v>92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1208.7266666666667</v>
      </c>
      <c r="U430" s="15">
        <f t="shared" si="61"/>
        <v>144.52166666666676</v>
      </c>
      <c r="V430" s="143">
        <f t="shared" si="62"/>
        <v>368.87333333333322</v>
      </c>
      <c r="W430" s="141">
        <v>10793</v>
      </c>
      <c r="X430" s="144"/>
      <c r="Y430" s="143"/>
      <c r="Z430" s="145">
        <f t="shared" si="63"/>
        <v>92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1208.7266666666667</v>
      </c>
      <c r="U431" s="15">
        <f t="shared" si="61"/>
        <v>144.52166666666676</v>
      </c>
      <c r="V431" s="143">
        <f t="shared" si="62"/>
        <v>368.87333333333322</v>
      </c>
      <c r="W431" s="141">
        <v>10793</v>
      </c>
      <c r="X431" s="144"/>
      <c r="Y431" s="143"/>
      <c r="Z431" s="145">
        <f t="shared" si="63"/>
        <v>92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1208.7266666666667</v>
      </c>
      <c r="U432" s="15">
        <f t="shared" si="61"/>
        <v>144.52166666666676</v>
      </c>
      <c r="V432" s="143">
        <f t="shared" si="62"/>
        <v>368.87333333333322</v>
      </c>
      <c r="W432" s="141">
        <v>10793</v>
      </c>
      <c r="X432" s="144"/>
      <c r="Y432" s="143"/>
      <c r="Z432" s="145">
        <f t="shared" si="63"/>
        <v>92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1221.865</v>
      </c>
      <c r="U433" s="15">
        <f t="shared" si="61"/>
        <v>144.52166666666676</v>
      </c>
      <c r="V433" s="143">
        <f t="shared" si="62"/>
        <v>355.7349999999999</v>
      </c>
      <c r="W433" s="141">
        <v>10793</v>
      </c>
      <c r="X433" s="144"/>
      <c r="Y433" s="143"/>
      <c r="Z433" s="145">
        <f t="shared" si="63"/>
        <v>93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2280.373333333333</v>
      </c>
      <c r="U434" s="15">
        <f t="shared" si="61"/>
        <v>272.65333333333319</v>
      </c>
      <c r="V434" s="153">
        <f t="shared" si="62"/>
        <v>695.0266666666671</v>
      </c>
      <c r="W434" s="152">
        <v>10793</v>
      </c>
      <c r="X434" s="154"/>
      <c r="Y434" s="153"/>
      <c r="Z434" s="155">
        <f t="shared" si="63"/>
        <v>92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2280.373333333333</v>
      </c>
      <c r="U435" s="15">
        <f t="shared" si="61"/>
        <v>272.65333333333319</v>
      </c>
      <c r="V435" s="153">
        <f t="shared" si="62"/>
        <v>695.0266666666671</v>
      </c>
      <c r="W435" s="152">
        <v>10793</v>
      </c>
      <c r="X435" s="154"/>
      <c r="Y435" s="153"/>
      <c r="Z435" s="155">
        <f t="shared" si="63"/>
        <v>92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2280.373333333333</v>
      </c>
      <c r="U436" s="15">
        <f t="shared" si="61"/>
        <v>272.65333333333319</v>
      </c>
      <c r="V436" s="153">
        <f t="shared" si="62"/>
        <v>695.0266666666671</v>
      </c>
      <c r="W436" s="152">
        <v>10793</v>
      </c>
      <c r="X436" s="154"/>
      <c r="Y436" s="153"/>
      <c r="Z436" s="155">
        <f t="shared" si="63"/>
        <v>92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2280.373333333333</v>
      </c>
      <c r="U437" s="15">
        <f t="shared" si="61"/>
        <v>272.65333333333319</v>
      </c>
      <c r="V437" s="153">
        <f t="shared" si="62"/>
        <v>695.0266666666671</v>
      </c>
      <c r="W437" s="152">
        <v>10793</v>
      </c>
      <c r="X437" s="154"/>
      <c r="Y437" s="153"/>
      <c r="Z437" s="155">
        <f t="shared" si="63"/>
        <v>92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2280.373333333333</v>
      </c>
      <c r="U438" s="15">
        <f t="shared" si="61"/>
        <v>272.65333333333319</v>
      </c>
      <c r="V438" s="153">
        <f t="shared" si="62"/>
        <v>695.0266666666671</v>
      </c>
      <c r="W438" s="152">
        <v>10793</v>
      </c>
      <c r="X438" s="154"/>
      <c r="Y438" s="153"/>
      <c r="Z438" s="155">
        <f t="shared" si="63"/>
        <v>92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1061.9866666666669</v>
      </c>
      <c r="U439" s="15">
        <f t="shared" si="61"/>
        <v>126.9766666666668</v>
      </c>
      <c r="V439" s="135">
        <f t="shared" si="62"/>
        <v>324.21333333333314</v>
      </c>
      <c r="W439" s="103">
        <v>10793</v>
      </c>
      <c r="X439" s="136"/>
      <c r="Y439" s="135"/>
      <c r="Z439" s="114">
        <f t="shared" si="63"/>
        <v>92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194.88666666666666</v>
      </c>
      <c r="U440" s="15">
        <f t="shared" si="61"/>
        <v>23.301666666666677</v>
      </c>
      <c r="V440" s="135">
        <f t="shared" si="62"/>
        <v>60.313333333333333</v>
      </c>
      <c r="W440" s="103">
        <v>10793</v>
      </c>
      <c r="X440" s="136"/>
      <c r="Y440" s="135"/>
      <c r="Z440" s="114">
        <f t="shared" si="63"/>
        <v>92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194.88666666666666</v>
      </c>
      <c r="U441" s="15">
        <f t="shared" si="61"/>
        <v>23.301666666666677</v>
      </c>
      <c r="V441" s="135">
        <f t="shared" si="62"/>
        <v>60.313333333333333</v>
      </c>
      <c r="W441" s="103">
        <v>10793</v>
      </c>
      <c r="X441" s="136"/>
      <c r="Y441" s="135"/>
      <c r="Z441" s="114">
        <f t="shared" si="63"/>
        <v>92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194.88666666666666</v>
      </c>
      <c r="U442" s="15">
        <f t="shared" si="61"/>
        <v>23.301666666666677</v>
      </c>
      <c r="V442" s="135">
        <f t="shared" si="62"/>
        <v>60.313333333333333</v>
      </c>
      <c r="W442" s="103">
        <v>10793</v>
      </c>
      <c r="X442" s="136"/>
      <c r="Y442" s="135"/>
      <c r="Z442" s="114">
        <f t="shared" si="63"/>
        <v>92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3351.1306666666669</v>
      </c>
      <c r="U443" s="15">
        <f t="shared" si="61"/>
        <v>400.67866666666669</v>
      </c>
      <c r="V443" s="135">
        <f t="shared" si="62"/>
        <v>1020.9093333333331</v>
      </c>
      <c r="W443" s="103">
        <v>10793</v>
      </c>
      <c r="X443" s="136"/>
      <c r="Y443" s="135"/>
      <c r="Z443" s="114">
        <f t="shared" si="63"/>
        <v>92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3351.1306666666669</v>
      </c>
      <c r="U444" s="15">
        <f t="shared" si="61"/>
        <v>400.67866666666669</v>
      </c>
      <c r="V444" s="135">
        <f t="shared" si="62"/>
        <v>1020.9093333333331</v>
      </c>
      <c r="W444" s="103">
        <v>10793</v>
      </c>
      <c r="X444" s="136"/>
      <c r="Y444" s="135"/>
      <c r="Z444" s="114">
        <f t="shared" si="63"/>
        <v>92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3351.1306666666669</v>
      </c>
      <c r="U445" s="15">
        <f t="shared" si="61"/>
        <v>400.67866666666669</v>
      </c>
      <c r="V445" s="135">
        <f t="shared" si="62"/>
        <v>1020.9093333333331</v>
      </c>
      <c r="W445" s="103">
        <v>10793</v>
      </c>
      <c r="X445" s="136"/>
      <c r="Y445" s="135"/>
      <c r="Z445" s="114">
        <f t="shared" si="63"/>
        <v>92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3351.1306666666669</v>
      </c>
      <c r="U446" s="15">
        <f t="shared" si="61"/>
        <v>400.67866666666669</v>
      </c>
      <c r="V446" s="135">
        <f t="shared" si="62"/>
        <v>1020.9093333333331</v>
      </c>
      <c r="W446" s="103">
        <v>10793</v>
      </c>
      <c r="X446" s="136"/>
      <c r="Y446" s="135"/>
      <c r="Z446" s="114">
        <f t="shared" si="63"/>
        <v>92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5068.2298333333329</v>
      </c>
      <c r="U447" s="15">
        <f t="shared" si="61"/>
        <v>612.64316666666673</v>
      </c>
      <c r="V447" s="135">
        <f t="shared" si="62"/>
        <v>1616.1501666666672</v>
      </c>
      <c r="W447" s="103">
        <v>10899</v>
      </c>
      <c r="X447" s="136"/>
      <c r="Y447" s="135"/>
      <c r="Z447" s="114">
        <f t="shared" si="63"/>
        <v>91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439.07499999999999</v>
      </c>
      <c r="U448" s="15">
        <f t="shared" si="61"/>
        <v>53.074999999999989</v>
      </c>
      <c r="V448" s="135">
        <f t="shared" si="62"/>
        <v>140.92500000000001</v>
      </c>
      <c r="W448" s="103">
        <v>10899</v>
      </c>
      <c r="X448" s="136"/>
      <c r="Y448" s="135"/>
      <c r="Z448" s="114">
        <f t="shared" si="63"/>
        <v>91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3655.1363333333334</v>
      </c>
      <c r="U449" s="15">
        <f t="shared" si="61"/>
        <v>441.82966666666653</v>
      </c>
      <c r="V449" s="135">
        <f t="shared" si="62"/>
        <v>1165.8236666666667</v>
      </c>
      <c r="W449" s="103">
        <v>10899</v>
      </c>
      <c r="X449" s="136"/>
      <c r="Y449" s="135"/>
      <c r="Z449" s="114">
        <f t="shared" si="63"/>
        <v>91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3827.5509999999999</v>
      </c>
      <c r="U450" s="15">
        <f t="shared" si="61"/>
        <v>462.67099999999982</v>
      </c>
      <c r="V450" s="135">
        <f t="shared" si="62"/>
        <v>1220.7689999999998</v>
      </c>
      <c r="W450" s="103">
        <v>10899</v>
      </c>
      <c r="X450" s="136"/>
      <c r="Y450" s="135"/>
      <c r="Z450" s="114">
        <f t="shared" si="63"/>
        <v>91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1732.1849999999999</v>
      </c>
      <c r="U451" s="15">
        <f t="shared" si="61"/>
        <v>209.38499999999999</v>
      </c>
      <c r="V451" s="135">
        <f t="shared" si="62"/>
        <v>553.01499999999987</v>
      </c>
      <c r="W451" s="103">
        <v>10899</v>
      </c>
      <c r="X451" s="136"/>
      <c r="Y451" s="135"/>
      <c r="Z451" s="114">
        <f t="shared" si="63"/>
        <v>91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1215.2898333333333</v>
      </c>
      <c r="U452" s="15">
        <f t="shared" si="61"/>
        <v>146.90316666666672</v>
      </c>
      <c r="V452" s="135">
        <f t="shared" si="62"/>
        <v>388.29016666666666</v>
      </c>
      <c r="W452" s="103">
        <v>10899</v>
      </c>
      <c r="X452" s="136"/>
      <c r="Y452" s="135"/>
      <c r="Z452" s="114">
        <f t="shared" si="63"/>
        <v>91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2976.0336666666672</v>
      </c>
      <c r="U453" s="15">
        <f t="shared" si="61"/>
        <v>359.74033333333364</v>
      </c>
      <c r="V453" s="135">
        <f t="shared" si="62"/>
        <v>949.4063333333329</v>
      </c>
      <c r="X453" s="136"/>
      <c r="Y453" s="135"/>
      <c r="Z453" s="114">
        <f t="shared" si="63"/>
        <v>91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1708.8000000000002</v>
      </c>
      <c r="U454" s="15">
        <f t="shared" si="61"/>
        <v>208.85333333333347</v>
      </c>
      <c r="V454" s="135">
        <f t="shared" si="62"/>
        <v>570.59999999999991</v>
      </c>
      <c r="W454" s="103">
        <v>11040</v>
      </c>
      <c r="X454" s="136"/>
      <c r="Y454" s="135"/>
      <c r="Z454" s="114">
        <f t="shared" si="63"/>
        <v>90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1708.8000000000002</v>
      </c>
      <c r="U455" s="15">
        <f t="shared" si="61"/>
        <v>208.85333333333347</v>
      </c>
      <c r="V455" s="135">
        <f t="shared" si="62"/>
        <v>570.59999999999991</v>
      </c>
      <c r="W455" s="103">
        <v>11040</v>
      </c>
      <c r="X455" s="136"/>
      <c r="Y455" s="135"/>
      <c r="Z455" s="114">
        <f t="shared" si="63"/>
        <v>90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1708.8000000000002</v>
      </c>
      <c r="U456" s="15">
        <f t="shared" si="61"/>
        <v>208.85333333333347</v>
      </c>
      <c r="V456" s="135">
        <f t="shared" si="62"/>
        <v>570.59999999999991</v>
      </c>
      <c r="W456" s="103">
        <v>11040</v>
      </c>
      <c r="X456" s="136"/>
      <c r="Y456" s="135"/>
      <c r="Z456" s="114">
        <f t="shared" si="63"/>
        <v>90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1708.8000000000002</v>
      </c>
      <c r="U457" s="15">
        <f t="shared" si="61"/>
        <v>208.85333333333347</v>
      </c>
      <c r="V457" s="135">
        <f t="shared" si="62"/>
        <v>570.59999999999991</v>
      </c>
      <c r="W457" s="103">
        <v>11040</v>
      </c>
      <c r="X457" s="136"/>
      <c r="Y457" s="135"/>
      <c r="Z457" s="114">
        <f t="shared" si="63"/>
        <v>90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1708.8000000000002</v>
      </c>
      <c r="U458" s="15">
        <f t="shared" si="61"/>
        <v>208.85333333333347</v>
      </c>
      <c r="V458" s="135">
        <f t="shared" si="62"/>
        <v>570.59999999999991</v>
      </c>
      <c r="W458" s="103">
        <v>11040</v>
      </c>
      <c r="X458" s="136"/>
      <c r="Y458" s="135"/>
      <c r="Z458" s="114">
        <f t="shared" si="63"/>
        <v>90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1929.7799999999997</v>
      </c>
      <c r="U459" s="15">
        <f t="shared" si="61"/>
        <v>235.86200000000008</v>
      </c>
      <c r="V459" s="313">
        <f t="shared" si="62"/>
        <v>644.26000000000022</v>
      </c>
      <c r="W459" s="245">
        <v>11040</v>
      </c>
      <c r="X459" s="312"/>
      <c r="Y459" s="313"/>
      <c r="Z459" s="114">
        <f t="shared" si="63"/>
        <v>90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1929.7799999999997</v>
      </c>
      <c r="U460" s="15">
        <f t="shared" si="61"/>
        <v>235.86200000000008</v>
      </c>
      <c r="V460" s="313">
        <f t="shared" si="62"/>
        <v>644.26000000000022</v>
      </c>
      <c r="W460" s="245">
        <v>11040</v>
      </c>
      <c r="X460" s="312"/>
      <c r="Y460" s="313"/>
      <c r="Z460" s="114">
        <f t="shared" si="63"/>
        <v>90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1929.7799999999997</v>
      </c>
      <c r="U461" s="15">
        <f t="shared" si="61"/>
        <v>235.86200000000008</v>
      </c>
      <c r="V461" s="313">
        <f t="shared" si="62"/>
        <v>644.26000000000022</v>
      </c>
      <c r="W461" s="245">
        <v>11040</v>
      </c>
      <c r="X461" s="312"/>
      <c r="Y461" s="313"/>
      <c r="Z461" s="114">
        <f t="shared" si="63"/>
        <v>90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1929.7799999999997</v>
      </c>
      <c r="U462" s="15">
        <f t="shared" si="61"/>
        <v>235.86200000000008</v>
      </c>
      <c r="V462" s="313">
        <f t="shared" si="62"/>
        <v>644.26000000000022</v>
      </c>
      <c r="W462" s="245">
        <v>11040</v>
      </c>
      <c r="X462" s="312"/>
      <c r="Y462" s="313"/>
      <c r="Z462" s="114">
        <f t="shared" si="63"/>
        <v>90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1929.7799999999997</v>
      </c>
      <c r="U463" s="15">
        <f t="shared" si="61"/>
        <v>235.86200000000008</v>
      </c>
      <c r="V463" s="313">
        <f t="shared" si="62"/>
        <v>644.26000000000022</v>
      </c>
      <c r="W463" s="245">
        <v>11040</v>
      </c>
      <c r="X463" s="312"/>
      <c r="Y463" s="313"/>
      <c r="Z463" s="114">
        <f t="shared" si="63"/>
        <v>90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476.88</v>
      </c>
      <c r="U464" s="15">
        <f t="shared" si="61"/>
        <v>58.285333333333313</v>
      </c>
      <c r="V464" s="313">
        <f t="shared" si="62"/>
        <v>159.96000000000004</v>
      </c>
      <c r="W464" s="245">
        <v>11040</v>
      </c>
      <c r="X464" s="312"/>
      <c r="Y464" s="313"/>
      <c r="Z464" s="114">
        <f t="shared" si="63"/>
        <v>90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476.88</v>
      </c>
      <c r="U465" s="15">
        <f t="shared" si="61"/>
        <v>58.285333333333313</v>
      </c>
      <c r="V465" s="313">
        <f t="shared" si="62"/>
        <v>159.96000000000004</v>
      </c>
      <c r="W465" s="245">
        <v>11040</v>
      </c>
      <c r="X465" s="312"/>
      <c r="Y465" s="313"/>
      <c r="Z465" s="114">
        <f t="shared" si="63"/>
        <v>90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476.88</v>
      </c>
      <c r="U466" s="15">
        <f t="shared" si="61"/>
        <v>58.285333333333313</v>
      </c>
      <c r="V466" s="313">
        <f t="shared" si="62"/>
        <v>159.96000000000004</v>
      </c>
      <c r="W466" s="245">
        <v>11040</v>
      </c>
      <c r="X466" s="312"/>
      <c r="Y466" s="313"/>
      <c r="Z466" s="114">
        <f t="shared" si="63"/>
        <v>90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476.88</v>
      </c>
      <c r="U467" s="15">
        <f t="shared" si="61"/>
        <v>58.285333333333313</v>
      </c>
      <c r="V467" s="313">
        <f t="shared" si="62"/>
        <v>159.96000000000004</v>
      </c>
      <c r="W467" s="245">
        <v>11040</v>
      </c>
      <c r="X467" s="312"/>
      <c r="Y467" s="313"/>
      <c r="Z467" s="114">
        <f t="shared" si="63"/>
        <v>90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476.88</v>
      </c>
      <c r="U468" s="15">
        <f t="shared" si="61"/>
        <v>58.285333333333313</v>
      </c>
      <c r="V468" s="313">
        <f t="shared" si="62"/>
        <v>159.96000000000004</v>
      </c>
      <c r="W468" s="245">
        <v>11040</v>
      </c>
      <c r="X468" s="312"/>
      <c r="Y468" s="313"/>
      <c r="Z468" s="114">
        <f t="shared" si="63"/>
        <v>90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449.90999999999997</v>
      </c>
      <c r="U469" s="15">
        <f t="shared" si="61"/>
        <v>54.988999999999976</v>
      </c>
      <c r="V469" s="313">
        <f t="shared" si="62"/>
        <v>150.97000000000003</v>
      </c>
      <c r="W469" s="245">
        <v>11040</v>
      </c>
      <c r="X469" s="312"/>
      <c r="Y469" s="313"/>
      <c r="Z469" s="114">
        <f t="shared" si="63"/>
        <v>90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449.90999999999997</v>
      </c>
      <c r="U470" s="15">
        <f t="shared" si="61"/>
        <v>54.988999999999976</v>
      </c>
      <c r="V470" s="313">
        <f t="shared" si="62"/>
        <v>150.97000000000003</v>
      </c>
      <c r="W470" s="245">
        <v>11040</v>
      </c>
      <c r="X470" s="312"/>
      <c r="Y470" s="313"/>
      <c r="Z470" s="114">
        <f t="shared" si="63"/>
        <v>90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449.90999999999997</v>
      </c>
      <c r="U471" s="15">
        <f t="shared" si="61"/>
        <v>54.988999999999976</v>
      </c>
      <c r="V471" s="313">
        <f t="shared" si="62"/>
        <v>150.97000000000003</v>
      </c>
      <c r="W471" s="245">
        <v>11040</v>
      </c>
      <c r="X471" s="312"/>
      <c r="Y471" s="313"/>
      <c r="Z471" s="114">
        <f t="shared" si="63"/>
        <v>90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449.90999999999997</v>
      </c>
      <c r="U472" s="15">
        <f t="shared" si="61"/>
        <v>54.988999999999976</v>
      </c>
      <c r="V472" s="313">
        <f t="shared" si="62"/>
        <v>150.97000000000003</v>
      </c>
      <c r="W472" s="245">
        <v>11040</v>
      </c>
      <c r="X472" s="312"/>
      <c r="Y472" s="313"/>
      <c r="Z472" s="114">
        <f t="shared" si="63"/>
        <v>90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449.90999999999997</v>
      </c>
      <c r="U473" s="15">
        <f t="shared" si="61"/>
        <v>54.988999999999976</v>
      </c>
      <c r="V473" s="313">
        <f t="shared" si="62"/>
        <v>150.97000000000003</v>
      </c>
      <c r="W473" s="245">
        <v>11040</v>
      </c>
      <c r="X473" s="312"/>
      <c r="Y473" s="313"/>
      <c r="Z473" s="114">
        <f t="shared" si="63"/>
        <v>90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449.90999999999997</v>
      </c>
      <c r="U474" s="15">
        <f t="shared" si="61"/>
        <v>54.988999999999976</v>
      </c>
      <c r="V474" s="313">
        <f t="shared" si="62"/>
        <v>150.97000000000003</v>
      </c>
      <c r="W474" s="245">
        <v>11040</v>
      </c>
      <c r="X474" s="312"/>
      <c r="Y474" s="313"/>
      <c r="Z474" s="114">
        <f t="shared" si="63"/>
        <v>90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449.90999999999997</v>
      </c>
      <c r="U475" s="15">
        <f t="shared" si="61"/>
        <v>54.988999999999976</v>
      </c>
      <c r="V475" s="313">
        <f t="shared" si="62"/>
        <v>150.97000000000003</v>
      </c>
      <c r="W475" s="245">
        <v>11040</v>
      </c>
      <c r="X475" s="312"/>
      <c r="Y475" s="313"/>
      <c r="Z475" s="114">
        <f t="shared" si="63"/>
        <v>90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449.90999999999997</v>
      </c>
      <c r="U476" s="15">
        <f t="shared" si="61"/>
        <v>54.988999999999976</v>
      </c>
      <c r="V476" s="313">
        <f t="shared" si="62"/>
        <v>150.97000000000003</v>
      </c>
      <c r="W476" s="245">
        <v>11040</v>
      </c>
      <c r="X476" s="312"/>
      <c r="Y476" s="313"/>
      <c r="Z476" s="114">
        <f t="shared" si="63"/>
        <v>90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449.90999999999997</v>
      </c>
      <c r="U477" s="15">
        <f t="shared" si="61"/>
        <v>54.988999999999976</v>
      </c>
      <c r="V477" s="313">
        <f t="shared" si="62"/>
        <v>150.97000000000003</v>
      </c>
      <c r="W477" s="245">
        <v>11040</v>
      </c>
      <c r="X477" s="312"/>
      <c r="Y477" s="313"/>
      <c r="Z477" s="114">
        <f t="shared" si="63"/>
        <v>90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449.90999999999997</v>
      </c>
      <c r="U478" s="15">
        <f t="shared" si="61"/>
        <v>54.988999999999976</v>
      </c>
      <c r="V478" s="313">
        <f t="shared" si="62"/>
        <v>150.97000000000003</v>
      </c>
      <c r="W478" s="245">
        <v>11040</v>
      </c>
      <c r="X478" s="312"/>
      <c r="Y478" s="313"/>
      <c r="Z478" s="114">
        <f t="shared" si="63"/>
        <v>90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5242.74</v>
      </c>
      <c r="U479" s="15">
        <f t="shared" ref="U479:U542" si="67">T479-S479</f>
        <v>640.77933333333385</v>
      </c>
      <c r="V479" s="313">
        <f t="shared" ref="V479:V542" si="68">N479-T479</f>
        <v>1748.58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90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5242.74</v>
      </c>
      <c r="U480" s="15">
        <f t="shared" si="67"/>
        <v>640.77933333333385</v>
      </c>
      <c r="V480" s="313">
        <f t="shared" si="68"/>
        <v>1748.58</v>
      </c>
      <c r="W480" s="245">
        <v>11040</v>
      </c>
      <c r="X480" s="312"/>
      <c r="Y480" s="313"/>
      <c r="Z480" s="114">
        <f t="shared" si="69"/>
        <v>90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4555.4400000000005</v>
      </c>
      <c r="U481" s="15">
        <f t="shared" si="67"/>
        <v>556.77599999999984</v>
      </c>
      <c r="V481" s="313">
        <f t="shared" si="68"/>
        <v>1519.4799999999996</v>
      </c>
      <c r="W481" s="245">
        <v>11040</v>
      </c>
      <c r="X481" s="312"/>
      <c r="Y481" s="313"/>
      <c r="Z481" s="114">
        <f t="shared" si="69"/>
        <v>90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4555.4400000000005</v>
      </c>
      <c r="U482" s="15">
        <f t="shared" si="67"/>
        <v>556.77599999999984</v>
      </c>
      <c r="V482" s="313">
        <f t="shared" si="68"/>
        <v>1519.4799999999996</v>
      </c>
      <c r="W482" s="245">
        <v>11040</v>
      </c>
      <c r="X482" s="312"/>
      <c r="Y482" s="313"/>
      <c r="Z482" s="114">
        <f t="shared" si="69"/>
        <v>90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4555.4400000000005</v>
      </c>
      <c r="U483" s="15">
        <f t="shared" si="67"/>
        <v>556.77599999999984</v>
      </c>
      <c r="V483" s="313">
        <f t="shared" si="68"/>
        <v>1519.4799999999996</v>
      </c>
      <c r="W483" s="245">
        <v>11040</v>
      </c>
      <c r="X483" s="312"/>
      <c r="Y483" s="313"/>
      <c r="Z483" s="114">
        <f t="shared" si="69"/>
        <v>90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4555.4400000000005</v>
      </c>
      <c r="U484" s="15">
        <f t="shared" si="67"/>
        <v>556.77599999999984</v>
      </c>
      <c r="V484" s="313">
        <f t="shared" si="68"/>
        <v>1519.4799999999996</v>
      </c>
      <c r="W484" s="245">
        <v>11040</v>
      </c>
      <c r="X484" s="312"/>
      <c r="Y484" s="313"/>
      <c r="Z484" s="114">
        <f t="shared" si="69"/>
        <v>90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4555.4400000000005</v>
      </c>
      <c r="U485" s="15">
        <f t="shared" si="67"/>
        <v>556.77599999999984</v>
      </c>
      <c r="V485" s="313">
        <f t="shared" si="68"/>
        <v>1519.4799999999996</v>
      </c>
      <c r="W485" s="245">
        <v>11040</v>
      </c>
      <c r="X485" s="312"/>
      <c r="Y485" s="313"/>
      <c r="Z485" s="114">
        <f t="shared" si="69"/>
        <v>90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16.649999999999999</v>
      </c>
      <c r="U486" s="15">
        <f t="shared" si="67"/>
        <v>2.0350000000000001</v>
      </c>
      <c r="V486" s="313">
        <f t="shared" si="68"/>
        <v>6.5500000000000007</v>
      </c>
      <c r="W486" s="245">
        <v>11040</v>
      </c>
      <c r="X486" s="312"/>
      <c r="Y486" s="313"/>
      <c r="Z486" s="114">
        <f t="shared" si="69"/>
        <v>90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16.649999999999999</v>
      </c>
      <c r="U487" s="15">
        <f t="shared" si="67"/>
        <v>2.0350000000000001</v>
      </c>
      <c r="V487" s="313">
        <f t="shared" si="68"/>
        <v>6.5500000000000007</v>
      </c>
      <c r="W487" s="245">
        <v>11040</v>
      </c>
      <c r="X487" s="312"/>
      <c r="Y487" s="313"/>
      <c r="Z487" s="114">
        <f t="shared" si="69"/>
        <v>90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16.649999999999999</v>
      </c>
      <c r="U488" s="15">
        <f t="shared" si="67"/>
        <v>2.0350000000000001</v>
      </c>
      <c r="V488" s="313">
        <f t="shared" si="68"/>
        <v>6.5500000000000007</v>
      </c>
      <c r="W488" s="245">
        <v>11040</v>
      </c>
      <c r="X488" s="312"/>
      <c r="Y488" s="313"/>
      <c r="Z488" s="114">
        <f t="shared" si="69"/>
        <v>90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16.649999999999999</v>
      </c>
      <c r="U489" s="15">
        <f t="shared" si="67"/>
        <v>2.0350000000000001</v>
      </c>
      <c r="V489" s="313">
        <f t="shared" si="68"/>
        <v>6.5500000000000007</v>
      </c>
      <c r="W489" s="245">
        <v>11040</v>
      </c>
      <c r="X489" s="312"/>
      <c r="Y489" s="313"/>
      <c r="Z489" s="114">
        <f t="shared" si="69"/>
        <v>90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16.649999999999999</v>
      </c>
      <c r="U490" s="15">
        <f t="shared" si="67"/>
        <v>2.0350000000000001</v>
      </c>
      <c r="V490" s="313">
        <f t="shared" si="68"/>
        <v>6.5500000000000007</v>
      </c>
      <c r="W490" s="245">
        <v>11040</v>
      </c>
      <c r="X490" s="312"/>
      <c r="Y490" s="313"/>
      <c r="Z490" s="114">
        <f t="shared" si="69"/>
        <v>90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16.649999999999999</v>
      </c>
      <c r="U491" s="15">
        <f t="shared" si="67"/>
        <v>2.0350000000000001</v>
      </c>
      <c r="V491" s="313">
        <f t="shared" si="68"/>
        <v>6.5500000000000007</v>
      </c>
      <c r="W491" s="245">
        <v>11040</v>
      </c>
      <c r="X491" s="312"/>
      <c r="Y491" s="313"/>
      <c r="Z491" s="114">
        <f t="shared" si="69"/>
        <v>90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16.649999999999999</v>
      </c>
      <c r="U492" s="15">
        <f t="shared" si="67"/>
        <v>2.0350000000000001</v>
      </c>
      <c r="V492" s="313">
        <f t="shared" si="68"/>
        <v>6.5500000000000007</v>
      </c>
      <c r="W492" s="245">
        <v>11040</v>
      </c>
      <c r="X492" s="312"/>
      <c r="Y492" s="313"/>
      <c r="Z492" s="114">
        <f t="shared" si="69"/>
        <v>90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16.649999999999999</v>
      </c>
      <c r="U493" s="15">
        <f t="shared" si="67"/>
        <v>2.0350000000000001</v>
      </c>
      <c r="V493" s="313">
        <f t="shared" si="68"/>
        <v>6.5500000000000007</v>
      </c>
      <c r="W493" s="245">
        <v>11040</v>
      </c>
      <c r="X493" s="312"/>
      <c r="Y493" s="313"/>
      <c r="Z493" s="114">
        <f t="shared" si="69"/>
        <v>90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16.649999999999999</v>
      </c>
      <c r="U494" s="15">
        <f t="shared" si="67"/>
        <v>2.0350000000000001</v>
      </c>
      <c r="V494" s="313">
        <f t="shared" si="68"/>
        <v>6.5500000000000007</v>
      </c>
      <c r="W494" s="245">
        <v>11040</v>
      </c>
      <c r="X494" s="312"/>
      <c r="Y494" s="313"/>
      <c r="Z494" s="114">
        <f t="shared" si="69"/>
        <v>90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16.649999999999999</v>
      </c>
      <c r="U495" s="15">
        <f t="shared" si="67"/>
        <v>2.0350000000000001</v>
      </c>
      <c r="V495" s="313">
        <f t="shared" si="68"/>
        <v>6.5500000000000007</v>
      </c>
      <c r="W495" s="245">
        <v>11040</v>
      </c>
      <c r="X495" s="312"/>
      <c r="Y495" s="313"/>
      <c r="Z495" s="114">
        <f t="shared" si="69"/>
        <v>90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16.649999999999999</v>
      </c>
      <c r="U496" s="15">
        <f t="shared" si="67"/>
        <v>2.0350000000000001</v>
      </c>
      <c r="V496" s="313">
        <f t="shared" si="68"/>
        <v>6.5500000000000007</v>
      </c>
      <c r="W496" s="245">
        <v>11040</v>
      </c>
      <c r="X496" s="312"/>
      <c r="Y496" s="313"/>
      <c r="Z496" s="114">
        <f t="shared" si="69"/>
        <v>90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16.649999999999999</v>
      </c>
      <c r="U497" s="15">
        <f t="shared" si="67"/>
        <v>2.0350000000000001</v>
      </c>
      <c r="V497" s="313">
        <f t="shared" si="68"/>
        <v>6.5500000000000007</v>
      </c>
      <c r="W497" s="245">
        <v>11040</v>
      </c>
      <c r="X497" s="312"/>
      <c r="Y497" s="313"/>
      <c r="Z497" s="114">
        <f t="shared" si="69"/>
        <v>90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16.649999999999999</v>
      </c>
      <c r="U498" s="15">
        <f t="shared" si="67"/>
        <v>2.0350000000000001</v>
      </c>
      <c r="V498" s="313">
        <f t="shared" si="68"/>
        <v>6.5500000000000007</v>
      </c>
      <c r="W498" s="245">
        <v>11040</v>
      </c>
      <c r="X498" s="312"/>
      <c r="Y498" s="313"/>
      <c r="Z498" s="114">
        <f t="shared" si="69"/>
        <v>90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16.649999999999999</v>
      </c>
      <c r="U499" s="15">
        <f t="shared" si="67"/>
        <v>2.0350000000000001</v>
      </c>
      <c r="V499" s="313">
        <f t="shared" si="68"/>
        <v>6.5500000000000007</v>
      </c>
      <c r="W499" s="245">
        <v>11040</v>
      </c>
      <c r="X499" s="312"/>
      <c r="Y499" s="313"/>
      <c r="Z499" s="114">
        <f t="shared" si="69"/>
        <v>90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16.649999999999999</v>
      </c>
      <c r="U500" s="15">
        <f t="shared" si="67"/>
        <v>2.0350000000000001</v>
      </c>
      <c r="V500" s="313">
        <f t="shared" si="68"/>
        <v>6.5500000000000007</v>
      </c>
      <c r="W500" s="245">
        <v>11040</v>
      </c>
      <c r="X500" s="312"/>
      <c r="Y500" s="313"/>
      <c r="Z500" s="114">
        <f t="shared" si="69"/>
        <v>90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16.649999999999999</v>
      </c>
      <c r="U501" s="15">
        <f t="shared" si="67"/>
        <v>2.0350000000000001</v>
      </c>
      <c r="V501" s="313">
        <f t="shared" si="68"/>
        <v>6.5500000000000007</v>
      </c>
      <c r="W501" s="245">
        <v>11040</v>
      </c>
      <c r="X501" s="312"/>
      <c r="Y501" s="313"/>
      <c r="Z501" s="114">
        <f t="shared" si="69"/>
        <v>90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16.649999999999999</v>
      </c>
      <c r="U502" s="15">
        <f t="shared" si="67"/>
        <v>2.0350000000000001</v>
      </c>
      <c r="V502" s="313">
        <f t="shared" si="68"/>
        <v>6.5500000000000007</v>
      </c>
      <c r="W502" s="245">
        <v>11040</v>
      </c>
      <c r="X502" s="312"/>
      <c r="Y502" s="313"/>
      <c r="Z502" s="114">
        <f t="shared" si="69"/>
        <v>90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16.649999999999999</v>
      </c>
      <c r="U503" s="15">
        <f t="shared" si="67"/>
        <v>2.0350000000000001</v>
      </c>
      <c r="V503" s="313">
        <f t="shared" si="68"/>
        <v>6.5500000000000007</v>
      </c>
      <c r="W503" s="245">
        <v>11040</v>
      </c>
      <c r="X503" s="312"/>
      <c r="Y503" s="313"/>
      <c r="Z503" s="114">
        <f t="shared" si="69"/>
        <v>90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16.649999999999999</v>
      </c>
      <c r="U504" s="15">
        <f t="shared" si="67"/>
        <v>2.0350000000000001</v>
      </c>
      <c r="V504" s="313">
        <f t="shared" si="68"/>
        <v>6.5500000000000007</v>
      </c>
      <c r="W504" s="245">
        <v>11040</v>
      </c>
      <c r="X504" s="312"/>
      <c r="Y504" s="313"/>
      <c r="Z504" s="114">
        <f t="shared" si="69"/>
        <v>90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16.649999999999999</v>
      </c>
      <c r="U505" s="15">
        <f t="shared" si="67"/>
        <v>2.0350000000000001</v>
      </c>
      <c r="V505" s="313">
        <f t="shared" si="68"/>
        <v>6.5500000000000007</v>
      </c>
      <c r="W505" s="245">
        <v>11040</v>
      </c>
      <c r="X505" s="312"/>
      <c r="Y505" s="313"/>
      <c r="Z505" s="114">
        <f t="shared" si="69"/>
        <v>90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16.649999999999999</v>
      </c>
      <c r="U506" s="15">
        <f t="shared" si="67"/>
        <v>2.0350000000000001</v>
      </c>
      <c r="V506" s="313">
        <f t="shared" si="68"/>
        <v>6.5500000000000007</v>
      </c>
      <c r="W506" s="245">
        <v>11040</v>
      </c>
      <c r="X506" s="312"/>
      <c r="Y506" s="313"/>
      <c r="Z506" s="114">
        <f t="shared" si="69"/>
        <v>90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16.649999999999999</v>
      </c>
      <c r="U507" s="15">
        <f t="shared" si="67"/>
        <v>2.0350000000000001</v>
      </c>
      <c r="V507" s="313">
        <f t="shared" si="68"/>
        <v>6.5500000000000007</v>
      </c>
      <c r="W507" s="245">
        <v>11040</v>
      </c>
      <c r="X507" s="312"/>
      <c r="Y507" s="313"/>
      <c r="Z507" s="114">
        <f t="shared" si="69"/>
        <v>90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16.649999999999999</v>
      </c>
      <c r="U508" s="15">
        <f t="shared" si="67"/>
        <v>2.0350000000000001</v>
      </c>
      <c r="V508" s="313">
        <f t="shared" si="68"/>
        <v>6.5500000000000007</v>
      </c>
      <c r="W508" s="245">
        <v>11040</v>
      </c>
      <c r="X508" s="312"/>
      <c r="Y508" s="313"/>
      <c r="Z508" s="114">
        <f t="shared" si="69"/>
        <v>90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16.649999999999999</v>
      </c>
      <c r="U509" s="15">
        <f t="shared" si="67"/>
        <v>2.0350000000000001</v>
      </c>
      <c r="V509" s="313">
        <f t="shared" si="68"/>
        <v>6.5500000000000007</v>
      </c>
      <c r="W509" s="245">
        <v>11040</v>
      </c>
      <c r="X509" s="312"/>
      <c r="Y509" s="313"/>
      <c r="Z509" s="114">
        <f t="shared" si="69"/>
        <v>90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16.649999999999999</v>
      </c>
      <c r="U510" s="15">
        <f t="shared" si="67"/>
        <v>2.0350000000000001</v>
      </c>
      <c r="V510" s="313">
        <f t="shared" si="68"/>
        <v>6.5500000000000007</v>
      </c>
      <c r="W510" s="245">
        <v>11040</v>
      </c>
      <c r="X510" s="312"/>
      <c r="Y510" s="313"/>
      <c r="Z510" s="114">
        <f t="shared" si="69"/>
        <v>90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16.649999999999999</v>
      </c>
      <c r="U511" s="15">
        <f t="shared" si="67"/>
        <v>2.0350000000000001</v>
      </c>
      <c r="V511" s="313">
        <f t="shared" si="68"/>
        <v>6.5500000000000007</v>
      </c>
      <c r="W511" s="245">
        <v>11040</v>
      </c>
      <c r="X511" s="312"/>
      <c r="Y511" s="313"/>
      <c r="Z511" s="114">
        <f t="shared" si="69"/>
        <v>90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16.649999999999999</v>
      </c>
      <c r="U512" s="15">
        <f t="shared" si="67"/>
        <v>2.0350000000000001</v>
      </c>
      <c r="V512" s="313">
        <f t="shared" si="68"/>
        <v>6.5500000000000007</v>
      </c>
      <c r="W512" s="245">
        <v>11040</v>
      </c>
      <c r="X512" s="312"/>
      <c r="Y512" s="313"/>
      <c r="Z512" s="114">
        <f t="shared" si="69"/>
        <v>90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16.649999999999999</v>
      </c>
      <c r="U513" s="15">
        <f t="shared" si="67"/>
        <v>2.0350000000000001</v>
      </c>
      <c r="V513" s="313">
        <f t="shared" si="68"/>
        <v>6.5500000000000007</v>
      </c>
      <c r="W513" s="245">
        <v>11040</v>
      </c>
      <c r="X513" s="312"/>
      <c r="Y513" s="313"/>
      <c r="Z513" s="114">
        <f t="shared" si="69"/>
        <v>90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16.649999999999999</v>
      </c>
      <c r="U514" s="15">
        <f t="shared" si="67"/>
        <v>2.0350000000000001</v>
      </c>
      <c r="V514" s="313">
        <f t="shared" si="68"/>
        <v>6.5500000000000007</v>
      </c>
      <c r="W514" s="245">
        <v>11040</v>
      </c>
      <c r="X514" s="312"/>
      <c r="Y514" s="313"/>
      <c r="Z514" s="114">
        <f t="shared" si="69"/>
        <v>90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16.649999999999999</v>
      </c>
      <c r="U515" s="15">
        <f t="shared" si="67"/>
        <v>2.0350000000000001</v>
      </c>
      <c r="V515" s="313">
        <f t="shared" si="68"/>
        <v>6.5500000000000007</v>
      </c>
      <c r="W515" s="245">
        <v>11040</v>
      </c>
      <c r="X515" s="312"/>
      <c r="Y515" s="313"/>
      <c r="Z515" s="114">
        <f t="shared" si="69"/>
        <v>90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16.649999999999999</v>
      </c>
      <c r="U516" s="15">
        <f t="shared" si="67"/>
        <v>2.0350000000000001</v>
      </c>
      <c r="V516" s="313">
        <f t="shared" si="68"/>
        <v>6.5500000000000007</v>
      </c>
      <c r="W516" s="245">
        <v>11040</v>
      </c>
      <c r="X516" s="312"/>
      <c r="Y516" s="313"/>
      <c r="Z516" s="114">
        <f t="shared" si="69"/>
        <v>90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16.649999999999999</v>
      </c>
      <c r="U517" s="15">
        <f t="shared" si="67"/>
        <v>2.0350000000000001</v>
      </c>
      <c r="V517" s="313">
        <f t="shared" si="68"/>
        <v>6.5500000000000007</v>
      </c>
      <c r="W517" s="245">
        <v>11040</v>
      </c>
      <c r="X517" s="312"/>
      <c r="Y517" s="313"/>
      <c r="Z517" s="114">
        <f t="shared" si="69"/>
        <v>90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16.649999999999999</v>
      </c>
      <c r="U518" s="15">
        <f t="shared" si="67"/>
        <v>2.0350000000000001</v>
      </c>
      <c r="V518" s="313">
        <f t="shared" si="68"/>
        <v>6.5500000000000007</v>
      </c>
      <c r="W518" s="245">
        <v>11040</v>
      </c>
      <c r="X518" s="312"/>
      <c r="Y518" s="313"/>
      <c r="Z518" s="114">
        <f t="shared" si="69"/>
        <v>90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16.649999999999999</v>
      </c>
      <c r="U519" s="15">
        <f t="shared" si="67"/>
        <v>2.0350000000000001</v>
      </c>
      <c r="V519" s="313">
        <f t="shared" si="68"/>
        <v>6.5500000000000007</v>
      </c>
      <c r="W519" s="245">
        <v>11040</v>
      </c>
      <c r="X519" s="312"/>
      <c r="Y519" s="313"/>
      <c r="Z519" s="114">
        <f t="shared" si="69"/>
        <v>90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16.649999999999999</v>
      </c>
      <c r="U520" s="15">
        <f t="shared" si="67"/>
        <v>2.0350000000000001</v>
      </c>
      <c r="V520" s="313">
        <f t="shared" si="68"/>
        <v>6.5500000000000007</v>
      </c>
      <c r="W520" s="245">
        <v>11040</v>
      </c>
      <c r="X520" s="312"/>
      <c r="Y520" s="313"/>
      <c r="Z520" s="114">
        <f t="shared" si="69"/>
        <v>90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16.649999999999999</v>
      </c>
      <c r="U521" s="15">
        <f t="shared" si="67"/>
        <v>2.0350000000000001</v>
      </c>
      <c r="V521" s="313">
        <f t="shared" si="68"/>
        <v>6.5500000000000007</v>
      </c>
      <c r="W521" s="245">
        <v>11040</v>
      </c>
      <c r="X521" s="312"/>
      <c r="Y521" s="313"/>
      <c r="Z521" s="114">
        <f t="shared" si="69"/>
        <v>90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16.649999999999999</v>
      </c>
      <c r="U522" s="15">
        <f t="shared" si="67"/>
        <v>2.0350000000000001</v>
      </c>
      <c r="V522" s="313">
        <f t="shared" si="68"/>
        <v>6.5500000000000007</v>
      </c>
      <c r="W522" s="245">
        <v>11040</v>
      </c>
      <c r="X522" s="312"/>
      <c r="Y522" s="313"/>
      <c r="Z522" s="114">
        <f t="shared" si="69"/>
        <v>90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16.649999999999999</v>
      </c>
      <c r="U523" s="15">
        <f t="shared" si="67"/>
        <v>2.0350000000000001</v>
      </c>
      <c r="V523" s="313">
        <f t="shared" si="68"/>
        <v>6.5500000000000007</v>
      </c>
      <c r="W523" s="245">
        <v>11040</v>
      </c>
      <c r="X523" s="312"/>
      <c r="Y523" s="313"/>
      <c r="Z523" s="114">
        <f t="shared" si="69"/>
        <v>90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16.649999999999999</v>
      </c>
      <c r="U524" s="15">
        <f t="shared" si="67"/>
        <v>2.0350000000000001</v>
      </c>
      <c r="V524" s="313">
        <f t="shared" si="68"/>
        <v>6.5500000000000007</v>
      </c>
      <c r="W524" s="245">
        <v>11040</v>
      </c>
      <c r="X524" s="312"/>
      <c r="Y524" s="313"/>
      <c r="Z524" s="114">
        <f t="shared" si="69"/>
        <v>90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16.649999999999999</v>
      </c>
      <c r="U525" s="15">
        <f t="shared" si="67"/>
        <v>2.0350000000000001</v>
      </c>
      <c r="V525" s="313">
        <f t="shared" si="68"/>
        <v>6.5500000000000007</v>
      </c>
      <c r="W525" s="245">
        <v>11040</v>
      </c>
      <c r="X525" s="312"/>
      <c r="Y525" s="313"/>
      <c r="Z525" s="114">
        <f t="shared" si="69"/>
        <v>90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16.649999999999999</v>
      </c>
      <c r="U526" s="15">
        <f t="shared" si="67"/>
        <v>2.0350000000000001</v>
      </c>
      <c r="V526" s="313">
        <f t="shared" si="68"/>
        <v>6.5500000000000007</v>
      </c>
      <c r="W526" s="245">
        <v>11040</v>
      </c>
      <c r="X526" s="312"/>
      <c r="Y526" s="313"/>
      <c r="Z526" s="114">
        <f t="shared" si="69"/>
        <v>90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16.649999999999999</v>
      </c>
      <c r="U527" s="15">
        <f t="shared" si="67"/>
        <v>2.0350000000000001</v>
      </c>
      <c r="V527" s="313">
        <f t="shared" si="68"/>
        <v>6.5500000000000007</v>
      </c>
      <c r="W527" s="245">
        <v>11040</v>
      </c>
      <c r="X527" s="312"/>
      <c r="Y527" s="313"/>
      <c r="Z527" s="114">
        <f t="shared" si="69"/>
        <v>90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16.649999999999999</v>
      </c>
      <c r="U528" s="15">
        <f t="shared" si="67"/>
        <v>2.0350000000000001</v>
      </c>
      <c r="V528" s="313">
        <f t="shared" si="68"/>
        <v>6.5500000000000007</v>
      </c>
      <c r="W528" s="245">
        <v>11040</v>
      </c>
      <c r="X528" s="312"/>
      <c r="Y528" s="313"/>
      <c r="Z528" s="114">
        <f t="shared" si="69"/>
        <v>90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16.649999999999999</v>
      </c>
      <c r="U529" s="15">
        <f t="shared" si="67"/>
        <v>2.0350000000000001</v>
      </c>
      <c r="V529" s="313">
        <f t="shared" si="68"/>
        <v>6.5500000000000007</v>
      </c>
      <c r="W529" s="245">
        <v>11040</v>
      </c>
      <c r="X529" s="312"/>
      <c r="Y529" s="313"/>
      <c r="Z529" s="114">
        <f t="shared" si="69"/>
        <v>90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16.649999999999999</v>
      </c>
      <c r="U530" s="15">
        <f t="shared" si="67"/>
        <v>2.0350000000000001</v>
      </c>
      <c r="V530" s="313">
        <f t="shared" si="68"/>
        <v>6.5500000000000007</v>
      </c>
      <c r="W530" s="245">
        <v>11040</v>
      </c>
      <c r="X530" s="312"/>
      <c r="Y530" s="313"/>
      <c r="Z530" s="114">
        <f t="shared" si="69"/>
        <v>90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16.649999999999999</v>
      </c>
      <c r="U531" s="15">
        <f t="shared" si="67"/>
        <v>2.0350000000000001</v>
      </c>
      <c r="V531" s="313">
        <f t="shared" si="68"/>
        <v>6.5500000000000007</v>
      </c>
      <c r="W531" s="245">
        <v>11040</v>
      </c>
      <c r="X531" s="312"/>
      <c r="Y531" s="313"/>
      <c r="Z531" s="114">
        <f t="shared" si="69"/>
        <v>90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16.649999999999999</v>
      </c>
      <c r="U532" s="15">
        <f t="shared" si="67"/>
        <v>2.0350000000000001</v>
      </c>
      <c r="V532" s="313">
        <f t="shared" si="68"/>
        <v>6.5500000000000007</v>
      </c>
      <c r="W532" s="245">
        <v>11040</v>
      </c>
      <c r="X532" s="312"/>
      <c r="Y532" s="313"/>
      <c r="Z532" s="114">
        <f t="shared" si="69"/>
        <v>90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16.649999999999999</v>
      </c>
      <c r="U533" s="15">
        <f t="shared" si="67"/>
        <v>2.0350000000000001</v>
      </c>
      <c r="V533" s="313">
        <f t="shared" si="68"/>
        <v>6.5500000000000007</v>
      </c>
      <c r="W533" s="245">
        <v>11040</v>
      </c>
      <c r="X533" s="312"/>
      <c r="Y533" s="313"/>
      <c r="Z533" s="114">
        <f t="shared" si="69"/>
        <v>90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16.649999999999999</v>
      </c>
      <c r="U534" s="15">
        <f t="shared" si="67"/>
        <v>2.0350000000000001</v>
      </c>
      <c r="V534" s="313">
        <f t="shared" si="68"/>
        <v>6.5500000000000007</v>
      </c>
      <c r="W534" s="245">
        <v>11040</v>
      </c>
      <c r="X534" s="312"/>
      <c r="Y534" s="313"/>
      <c r="Z534" s="114">
        <f t="shared" si="69"/>
        <v>90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16.649999999999999</v>
      </c>
      <c r="U535" s="15">
        <f t="shared" si="67"/>
        <v>2.0350000000000001</v>
      </c>
      <c r="V535" s="313">
        <f t="shared" si="68"/>
        <v>6.5500000000000007</v>
      </c>
      <c r="W535" s="245">
        <v>11040</v>
      </c>
      <c r="X535" s="312"/>
      <c r="Y535" s="313"/>
      <c r="Z535" s="114">
        <f t="shared" si="69"/>
        <v>90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16.649999999999999</v>
      </c>
      <c r="U536" s="15">
        <f t="shared" si="67"/>
        <v>2.0350000000000001</v>
      </c>
      <c r="V536" s="313">
        <f t="shared" si="68"/>
        <v>6.5500000000000007</v>
      </c>
      <c r="W536" s="245">
        <v>11040</v>
      </c>
      <c r="X536" s="312"/>
      <c r="Y536" s="313"/>
      <c r="Z536" s="114">
        <f t="shared" si="69"/>
        <v>90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16.649999999999999</v>
      </c>
      <c r="U537" s="15">
        <f t="shared" si="67"/>
        <v>2.0350000000000001</v>
      </c>
      <c r="V537" s="313">
        <f t="shared" si="68"/>
        <v>6.5500000000000007</v>
      </c>
      <c r="W537" s="245">
        <v>11040</v>
      </c>
      <c r="X537" s="312"/>
      <c r="Y537" s="313"/>
      <c r="Z537" s="114">
        <f t="shared" si="69"/>
        <v>90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16.649999999999999</v>
      </c>
      <c r="U538" s="15">
        <f t="shared" si="67"/>
        <v>2.0350000000000001</v>
      </c>
      <c r="V538" s="313">
        <f t="shared" si="68"/>
        <v>6.5500000000000007</v>
      </c>
      <c r="W538" s="245">
        <v>11040</v>
      </c>
      <c r="X538" s="312"/>
      <c r="Y538" s="313"/>
      <c r="Z538" s="114">
        <f t="shared" si="69"/>
        <v>90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16.649999999999999</v>
      </c>
      <c r="U539" s="15">
        <f t="shared" si="67"/>
        <v>2.0350000000000001</v>
      </c>
      <c r="V539" s="313">
        <f t="shared" si="68"/>
        <v>6.5500000000000007</v>
      </c>
      <c r="W539" s="245">
        <v>11040</v>
      </c>
      <c r="X539" s="312"/>
      <c r="Y539" s="313"/>
      <c r="Z539" s="114">
        <f t="shared" si="69"/>
        <v>90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16.649999999999999</v>
      </c>
      <c r="U540" s="15">
        <f t="shared" si="67"/>
        <v>2.0350000000000001</v>
      </c>
      <c r="V540" s="313">
        <f t="shared" si="68"/>
        <v>6.5500000000000007</v>
      </c>
      <c r="W540" s="245">
        <v>11040</v>
      </c>
      <c r="X540" s="312"/>
      <c r="Y540" s="313"/>
      <c r="Z540" s="114">
        <f t="shared" si="69"/>
        <v>90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16.649999999999999</v>
      </c>
      <c r="U541" s="15">
        <f t="shared" si="67"/>
        <v>2.0350000000000001</v>
      </c>
      <c r="V541" s="313">
        <f t="shared" si="68"/>
        <v>6.5500000000000007</v>
      </c>
      <c r="W541" s="245">
        <v>11040</v>
      </c>
      <c r="X541" s="312"/>
      <c r="Y541" s="313"/>
      <c r="Z541" s="114">
        <f t="shared" si="69"/>
        <v>90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16.649999999999999</v>
      </c>
      <c r="U542" s="15">
        <f t="shared" si="67"/>
        <v>2.0350000000000001</v>
      </c>
      <c r="V542" s="313">
        <f t="shared" si="68"/>
        <v>6.5500000000000007</v>
      </c>
      <c r="W542" s="245">
        <v>11040</v>
      </c>
      <c r="X542" s="312"/>
      <c r="Y542" s="313"/>
      <c r="Z542" s="114">
        <f t="shared" si="69"/>
        <v>90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16.649999999999999</v>
      </c>
      <c r="U543" s="15">
        <f t="shared" ref="U543:U605" si="73">T543-S543</f>
        <v>2.0350000000000001</v>
      </c>
      <c r="V543" s="313">
        <f t="shared" ref="V543:V605" si="74">N543-T543</f>
        <v>6.5500000000000007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90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16.649999999999999</v>
      </c>
      <c r="U544" s="15">
        <f t="shared" si="73"/>
        <v>2.0350000000000001</v>
      </c>
      <c r="V544" s="313">
        <f t="shared" si="74"/>
        <v>6.5500000000000007</v>
      </c>
      <c r="W544" s="245">
        <v>11040</v>
      </c>
      <c r="X544" s="312"/>
      <c r="Y544" s="313"/>
      <c r="Z544" s="114">
        <f t="shared" si="75"/>
        <v>90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16.649999999999999</v>
      </c>
      <c r="U545" s="15">
        <f t="shared" si="73"/>
        <v>2.0350000000000001</v>
      </c>
      <c r="V545" s="313">
        <f t="shared" si="74"/>
        <v>6.5500000000000007</v>
      </c>
      <c r="W545" s="245">
        <v>11040</v>
      </c>
      <c r="X545" s="312"/>
      <c r="Y545" s="313"/>
      <c r="Z545" s="114">
        <f t="shared" si="75"/>
        <v>90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16.649999999999999</v>
      </c>
      <c r="U546" s="15">
        <f t="shared" si="73"/>
        <v>2.0350000000000001</v>
      </c>
      <c r="V546" s="313">
        <f t="shared" si="74"/>
        <v>6.5500000000000007</v>
      </c>
      <c r="W546" s="245">
        <v>11040</v>
      </c>
      <c r="X546" s="312"/>
      <c r="Y546" s="313"/>
      <c r="Z546" s="114">
        <f t="shared" si="75"/>
        <v>90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16.649999999999999</v>
      </c>
      <c r="U547" s="15">
        <f t="shared" si="73"/>
        <v>2.0350000000000001</v>
      </c>
      <c r="V547" s="313">
        <f t="shared" si="74"/>
        <v>6.5500000000000007</v>
      </c>
      <c r="W547" s="245">
        <v>11040</v>
      </c>
      <c r="X547" s="312"/>
      <c r="Y547" s="313"/>
      <c r="Z547" s="114">
        <f t="shared" si="75"/>
        <v>90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16.649999999999999</v>
      </c>
      <c r="U548" s="15">
        <f t="shared" si="73"/>
        <v>2.0350000000000001</v>
      </c>
      <c r="V548" s="313">
        <f t="shared" si="74"/>
        <v>6.5500000000000007</v>
      </c>
      <c r="W548" s="245">
        <v>11040</v>
      </c>
      <c r="X548" s="312"/>
      <c r="Y548" s="313"/>
      <c r="Z548" s="114">
        <f t="shared" si="75"/>
        <v>90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16.649999999999999</v>
      </c>
      <c r="U549" s="15">
        <f t="shared" si="73"/>
        <v>2.0350000000000001</v>
      </c>
      <c r="V549" s="313">
        <f t="shared" si="74"/>
        <v>6.5500000000000007</v>
      </c>
      <c r="W549" s="245">
        <v>11040</v>
      </c>
      <c r="X549" s="312"/>
      <c r="Y549" s="313"/>
      <c r="Z549" s="114">
        <f t="shared" si="75"/>
        <v>90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5219.25</v>
      </c>
      <c r="U550" s="15">
        <f t="shared" si="73"/>
        <v>637.90833333333285</v>
      </c>
      <c r="V550" s="313">
        <f t="shared" si="74"/>
        <v>1740.75</v>
      </c>
      <c r="W550" s="245">
        <v>11040</v>
      </c>
      <c r="X550" s="312"/>
      <c r="Y550" s="313"/>
      <c r="Z550" s="114">
        <f t="shared" si="75"/>
        <v>90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1480.8566249999999</v>
      </c>
      <c r="U551" s="15">
        <f t="shared" si="73"/>
        <v>180.99358749999988</v>
      </c>
      <c r="V551" s="313">
        <f t="shared" si="74"/>
        <v>494.61887500000012</v>
      </c>
      <c r="W551" s="245">
        <v>11040</v>
      </c>
      <c r="X551" s="312"/>
      <c r="Y551" s="313"/>
      <c r="Z551" s="114">
        <f t="shared" si="75"/>
        <v>90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1480.8566249999999</v>
      </c>
      <c r="U552" s="15">
        <f t="shared" si="73"/>
        <v>180.99358749999988</v>
      </c>
      <c r="V552" s="313">
        <f t="shared" si="74"/>
        <v>494.61887500000012</v>
      </c>
      <c r="W552" s="245">
        <v>11040</v>
      </c>
      <c r="X552" s="312"/>
      <c r="Y552" s="313"/>
      <c r="Z552" s="114">
        <f t="shared" si="75"/>
        <v>90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1480.8566249999999</v>
      </c>
      <c r="U553" s="15">
        <f t="shared" si="73"/>
        <v>180.99358749999988</v>
      </c>
      <c r="V553" s="313">
        <f t="shared" si="74"/>
        <v>494.61887500000012</v>
      </c>
      <c r="W553" s="245">
        <v>11040</v>
      </c>
      <c r="X553" s="312"/>
      <c r="Y553" s="313"/>
      <c r="Z553" s="114">
        <f t="shared" si="75"/>
        <v>90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1480.8566249999999</v>
      </c>
      <c r="U554" s="15">
        <f t="shared" si="73"/>
        <v>180.99358749999988</v>
      </c>
      <c r="V554" s="313">
        <f t="shared" si="74"/>
        <v>494.61887500000012</v>
      </c>
      <c r="W554" s="245">
        <v>11040</v>
      </c>
      <c r="X554" s="312"/>
      <c r="Y554" s="313"/>
      <c r="Z554" s="114">
        <f t="shared" si="75"/>
        <v>90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1480.8566249999999</v>
      </c>
      <c r="U555" s="15">
        <f t="shared" si="73"/>
        <v>180.99358749999988</v>
      </c>
      <c r="V555" s="313">
        <f t="shared" si="74"/>
        <v>494.61887500000012</v>
      </c>
      <c r="W555" s="245">
        <v>11040</v>
      </c>
      <c r="X555" s="312"/>
      <c r="Y555" s="313"/>
      <c r="Z555" s="114">
        <f t="shared" si="75"/>
        <v>90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3278.28</v>
      </c>
      <c r="U556" s="15">
        <f t="shared" si="73"/>
        <v>400.67866666666669</v>
      </c>
      <c r="V556" s="313">
        <f t="shared" si="74"/>
        <v>1093.7599999999998</v>
      </c>
      <c r="W556" s="245">
        <v>11040</v>
      </c>
      <c r="X556" s="312"/>
      <c r="Y556" s="313"/>
      <c r="Z556" s="114">
        <f t="shared" si="75"/>
        <v>90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3278.28</v>
      </c>
      <c r="U557" s="15">
        <f t="shared" si="73"/>
        <v>400.67866666666669</v>
      </c>
      <c r="V557" s="313">
        <f t="shared" si="74"/>
        <v>1093.7599999999998</v>
      </c>
      <c r="W557" s="245">
        <v>11040</v>
      </c>
      <c r="X557" s="312"/>
      <c r="Y557" s="313"/>
      <c r="Z557" s="114">
        <f t="shared" si="75"/>
        <v>90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3278.28</v>
      </c>
      <c r="U558" s="15">
        <f t="shared" si="73"/>
        <v>400.67866666666669</v>
      </c>
      <c r="V558" s="313">
        <f t="shared" si="74"/>
        <v>1093.7599999999998</v>
      </c>
      <c r="W558" s="245">
        <v>11040</v>
      </c>
      <c r="X558" s="312"/>
      <c r="Y558" s="313"/>
      <c r="Z558" s="114">
        <f t="shared" si="75"/>
        <v>90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3278.28</v>
      </c>
      <c r="U559" s="15">
        <f t="shared" si="73"/>
        <v>400.67866666666669</v>
      </c>
      <c r="V559" s="313">
        <f t="shared" si="74"/>
        <v>1093.7599999999998</v>
      </c>
      <c r="W559" s="245">
        <v>11040</v>
      </c>
      <c r="X559" s="312"/>
      <c r="Y559" s="313"/>
      <c r="Z559" s="114">
        <f t="shared" si="75"/>
        <v>90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3278.28</v>
      </c>
      <c r="U560" s="15">
        <f t="shared" si="73"/>
        <v>400.67866666666669</v>
      </c>
      <c r="V560" s="313">
        <f t="shared" si="74"/>
        <v>1093.7599999999998</v>
      </c>
      <c r="W560" s="245">
        <v>11040</v>
      </c>
      <c r="X560" s="312"/>
      <c r="Y560" s="313"/>
      <c r="Z560" s="114">
        <f t="shared" si="75"/>
        <v>90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1182.45</v>
      </c>
      <c r="U561" s="15">
        <f t="shared" si="73"/>
        <v>144.52166666666676</v>
      </c>
      <c r="V561" s="335">
        <f t="shared" si="74"/>
        <v>395.14999999999986</v>
      </c>
      <c r="W561" s="334">
        <v>11040</v>
      </c>
      <c r="X561" s="336"/>
      <c r="Y561" s="335"/>
      <c r="Z561" s="180">
        <f t="shared" si="75"/>
        <v>90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1182.45</v>
      </c>
      <c r="U562" s="15">
        <f t="shared" si="73"/>
        <v>144.52166666666676</v>
      </c>
      <c r="V562" s="335">
        <f t="shared" si="74"/>
        <v>395.14999999999986</v>
      </c>
      <c r="W562" s="334">
        <v>11040</v>
      </c>
      <c r="X562" s="336"/>
      <c r="Y562" s="335"/>
      <c r="Z562" s="180">
        <f t="shared" si="75"/>
        <v>90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1182.45</v>
      </c>
      <c r="U563" s="15">
        <f t="shared" si="73"/>
        <v>144.52166666666676</v>
      </c>
      <c r="V563" s="335">
        <f t="shared" si="74"/>
        <v>395.14999999999986</v>
      </c>
      <c r="W563" s="334">
        <v>11040</v>
      </c>
      <c r="X563" s="336"/>
      <c r="Y563" s="335"/>
      <c r="Z563" s="180">
        <f t="shared" si="75"/>
        <v>90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1182.45</v>
      </c>
      <c r="U564" s="15">
        <f t="shared" si="73"/>
        <v>144.52166666666676</v>
      </c>
      <c r="V564" s="335">
        <f t="shared" si="74"/>
        <v>395.14999999999986</v>
      </c>
      <c r="W564" s="334">
        <v>11040</v>
      </c>
      <c r="X564" s="336"/>
      <c r="Y564" s="335"/>
      <c r="Z564" s="180">
        <f t="shared" si="75"/>
        <v>90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1182.45</v>
      </c>
      <c r="U565" s="15">
        <f t="shared" si="73"/>
        <v>144.52166666666676</v>
      </c>
      <c r="V565" s="335">
        <f t="shared" si="74"/>
        <v>395.14999999999986</v>
      </c>
      <c r="W565" s="334">
        <v>11040</v>
      </c>
      <c r="X565" s="336"/>
      <c r="Y565" s="335"/>
      <c r="Z565" s="180">
        <f t="shared" si="75"/>
        <v>90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1182.45</v>
      </c>
      <c r="U566" s="15">
        <f t="shared" si="73"/>
        <v>144.52166666666676</v>
      </c>
      <c r="V566" s="313">
        <f t="shared" si="74"/>
        <v>395.14999999999986</v>
      </c>
      <c r="W566" s="245">
        <v>11040</v>
      </c>
      <c r="X566" s="312"/>
      <c r="Y566" s="313"/>
      <c r="Z566" s="114">
        <f t="shared" si="75"/>
        <v>90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1182.45</v>
      </c>
      <c r="U567" s="15">
        <f t="shared" si="73"/>
        <v>144.52166666666676</v>
      </c>
      <c r="V567" s="313">
        <f t="shared" si="74"/>
        <v>395.14999999999986</v>
      </c>
      <c r="W567" s="245">
        <v>11040</v>
      </c>
      <c r="X567" s="312"/>
      <c r="Y567" s="313"/>
      <c r="Z567" s="114">
        <f t="shared" si="75"/>
        <v>90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1182.45</v>
      </c>
      <c r="U568" s="15">
        <f t="shared" si="73"/>
        <v>144.52166666666676</v>
      </c>
      <c r="V568" s="313">
        <f t="shared" si="74"/>
        <v>395.14999999999986</v>
      </c>
      <c r="W568" s="245">
        <v>11040</v>
      </c>
      <c r="X568" s="312"/>
      <c r="Y568" s="313"/>
      <c r="Z568" s="114">
        <f t="shared" si="75"/>
        <v>90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1182.45</v>
      </c>
      <c r="U569" s="15">
        <f t="shared" si="73"/>
        <v>144.52166666666676</v>
      </c>
      <c r="V569" s="313">
        <f t="shared" si="74"/>
        <v>395.14999999999986</v>
      </c>
      <c r="W569" s="245">
        <v>11040</v>
      </c>
      <c r="X569" s="312"/>
      <c r="Y569" s="313"/>
      <c r="Z569" s="114">
        <f t="shared" si="75"/>
        <v>90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2716.26</v>
      </c>
      <c r="U570" s="15">
        <f t="shared" si="73"/>
        <v>331.98733333333348</v>
      </c>
      <c r="V570" s="335">
        <f t="shared" si="74"/>
        <v>906.41999999999962</v>
      </c>
      <c r="W570" s="334">
        <v>11040</v>
      </c>
      <c r="X570" s="336"/>
      <c r="Y570" s="335"/>
      <c r="Z570" s="180">
        <f t="shared" si="75"/>
        <v>90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2716.26</v>
      </c>
      <c r="U571" s="15">
        <f t="shared" si="73"/>
        <v>331.98733333333348</v>
      </c>
      <c r="V571" s="313">
        <f t="shared" si="74"/>
        <v>906.41999999999962</v>
      </c>
      <c r="W571" s="245">
        <v>11040</v>
      </c>
      <c r="X571" s="312"/>
      <c r="Y571" s="313"/>
      <c r="Z571" s="114">
        <f t="shared" si="75"/>
        <v>90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2716.26</v>
      </c>
      <c r="U572" s="15">
        <f t="shared" si="73"/>
        <v>331.98733333333348</v>
      </c>
      <c r="V572" s="313">
        <f t="shared" si="74"/>
        <v>906.41999999999962</v>
      </c>
      <c r="W572" s="245">
        <v>11040</v>
      </c>
      <c r="X572" s="312"/>
      <c r="Y572" s="313"/>
      <c r="Z572" s="114">
        <f t="shared" si="75"/>
        <v>90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2716.26</v>
      </c>
      <c r="U573" s="15">
        <f t="shared" si="73"/>
        <v>331.98733333333348</v>
      </c>
      <c r="V573" s="313">
        <f t="shared" si="74"/>
        <v>906.41999999999962</v>
      </c>
      <c r="W573" s="245">
        <v>11040</v>
      </c>
      <c r="X573" s="312"/>
      <c r="Y573" s="313"/>
      <c r="Z573" s="114">
        <f t="shared" si="75"/>
        <v>90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2716.26</v>
      </c>
      <c r="U574" s="15">
        <f t="shared" si="73"/>
        <v>331.98733333333348</v>
      </c>
      <c r="V574" s="313">
        <f t="shared" si="74"/>
        <v>906.41999999999962</v>
      </c>
      <c r="W574" s="245">
        <v>11040</v>
      </c>
      <c r="X574" s="312"/>
      <c r="Y574" s="313"/>
      <c r="Z574" s="114">
        <f t="shared" si="75"/>
        <v>90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2716.26</v>
      </c>
      <c r="U575" s="15">
        <f t="shared" si="73"/>
        <v>331.98733333333348</v>
      </c>
      <c r="V575" s="313">
        <f t="shared" si="74"/>
        <v>906.41999999999962</v>
      </c>
      <c r="W575" s="245">
        <v>11040</v>
      </c>
      <c r="X575" s="312"/>
      <c r="Y575" s="313"/>
      <c r="Z575" s="114">
        <f t="shared" si="75"/>
        <v>90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2716.26</v>
      </c>
      <c r="U576" s="15">
        <f t="shared" si="73"/>
        <v>331.98733333333348</v>
      </c>
      <c r="V576" s="313">
        <f t="shared" si="74"/>
        <v>906.41999999999962</v>
      </c>
      <c r="W576" s="245">
        <v>11040</v>
      </c>
      <c r="X576" s="312"/>
      <c r="Y576" s="313"/>
      <c r="Z576" s="114">
        <f t="shared" si="75"/>
        <v>90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2716.26</v>
      </c>
      <c r="U577" s="15">
        <f t="shared" si="73"/>
        <v>331.98733333333348</v>
      </c>
      <c r="V577" s="313">
        <f t="shared" si="74"/>
        <v>906.41999999999962</v>
      </c>
      <c r="W577" s="245">
        <v>11040</v>
      </c>
      <c r="X577" s="312"/>
      <c r="Y577" s="313"/>
      <c r="Z577" s="114">
        <f t="shared" si="75"/>
        <v>90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2716.26</v>
      </c>
      <c r="U578" s="15">
        <f t="shared" si="73"/>
        <v>331.98733333333348</v>
      </c>
      <c r="V578" s="335">
        <f t="shared" si="74"/>
        <v>906.41999999999962</v>
      </c>
      <c r="W578" s="334">
        <v>11040</v>
      </c>
      <c r="X578" s="336"/>
      <c r="Y578" s="335"/>
      <c r="Z578" s="180">
        <f t="shared" si="75"/>
        <v>90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2716.26</v>
      </c>
      <c r="U579" s="15">
        <f t="shared" si="73"/>
        <v>331.98733333333348</v>
      </c>
      <c r="V579" s="335">
        <f t="shared" si="74"/>
        <v>906.41999999999962</v>
      </c>
      <c r="W579" s="334">
        <v>11040</v>
      </c>
      <c r="X579" s="336"/>
      <c r="Y579" s="335"/>
      <c r="Z579" s="180">
        <f t="shared" si="75"/>
        <v>90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2716.26</v>
      </c>
      <c r="U580" s="15">
        <f t="shared" si="73"/>
        <v>331.98733333333348</v>
      </c>
      <c r="V580" s="313">
        <f t="shared" si="74"/>
        <v>906.41999999999962</v>
      </c>
      <c r="W580" s="245">
        <v>11040</v>
      </c>
      <c r="X580" s="312"/>
      <c r="Y580" s="313"/>
      <c r="Z580" s="114">
        <f t="shared" si="75"/>
        <v>90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2716.26</v>
      </c>
      <c r="U581" s="15">
        <f t="shared" si="73"/>
        <v>331.98733333333348</v>
      </c>
      <c r="V581" s="313">
        <f t="shared" si="74"/>
        <v>906.41999999999962</v>
      </c>
      <c r="W581" s="245">
        <v>11040</v>
      </c>
      <c r="X581" s="312"/>
      <c r="Y581" s="313"/>
      <c r="Z581" s="114">
        <f t="shared" si="75"/>
        <v>90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2716.26</v>
      </c>
      <c r="U582" s="15">
        <f t="shared" si="73"/>
        <v>331.98733333333348</v>
      </c>
      <c r="V582" s="313">
        <f t="shared" si="74"/>
        <v>906.41999999999962</v>
      </c>
      <c r="W582" s="245">
        <v>11040</v>
      </c>
      <c r="X582" s="312"/>
      <c r="Y582" s="313"/>
      <c r="Z582" s="114">
        <f t="shared" si="75"/>
        <v>90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2716.26</v>
      </c>
      <c r="U583" s="15">
        <f t="shared" si="73"/>
        <v>331.98733333333348</v>
      </c>
      <c r="V583" s="313">
        <f t="shared" si="74"/>
        <v>906.41999999999962</v>
      </c>
      <c r="W583" s="245">
        <v>11040</v>
      </c>
      <c r="X583" s="312"/>
      <c r="Y583" s="313"/>
      <c r="Z583" s="114">
        <f t="shared" si="75"/>
        <v>90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2716.26</v>
      </c>
      <c r="U584" s="15">
        <f t="shared" si="73"/>
        <v>331.98733333333348</v>
      </c>
      <c r="V584" s="313">
        <f t="shared" si="74"/>
        <v>906.41999999999962</v>
      </c>
      <c r="W584" s="245">
        <v>11040</v>
      </c>
      <c r="X584" s="312"/>
      <c r="Y584" s="313"/>
      <c r="Z584" s="114">
        <f t="shared" si="75"/>
        <v>90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2716.26</v>
      </c>
      <c r="U585" s="15">
        <f t="shared" si="73"/>
        <v>331.98733333333348</v>
      </c>
      <c r="V585" s="313">
        <f t="shared" si="74"/>
        <v>906.41999999999962</v>
      </c>
      <c r="W585" s="245">
        <v>11040</v>
      </c>
      <c r="X585" s="312"/>
      <c r="Y585" s="313"/>
      <c r="Z585" s="114">
        <f t="shared" si="75"/>
        <v>90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2716.26</v>
      </c>
      <c r="U586" s="15">
        <f t="shared" si="73"/>
        <v>331.98733333333348</v>
      </c>
      <c r="V586" s="313">
        <f t="shared" si="74"/>
        <v>906.41999999999962</v>
      </c>
      <c r="W586" s="245">
        <v>11040</v>
      </c>
      <c r="X586" s="312"/>
      <c r="Y586" s="313"/>
      <c r="Z586" s="114">
        <f t="shared" si="75"/>
        <v>90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2716.26</v>
      </c>
      <c r="U587" s="15">
        <f t="shared" si="73"/>
        <v>331.98733333333348</v>
      </c>
      <c r="V587" s="313">
        <f t="shared" si="74"/>
        <v>906.41999999999962</v>
      </c>
      <c r="W587" s="245">
        <v>11040</v>
      </c>
      <c r="X587" s="312"/>
      <c r="Y587" s="313"/>
      <c r="Z587" s="114">
        <f t="shared" si="75"/>
        <v>90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2876.34</v>
      </c>
      <c r="U588" s="562">
        <f t="shared" si="73"/>
        <v>351.55266666666694</v>
      </c>
      <c r="V588" s="319">
        <f t="shared" si="74"/>
        <v>959.77999999999975</v>
      </c>
      <c r="W588" s="318">
        <v>11040</v>
      </c>
      <c r="X588" s="320"/>
      <c r="Y588" s="319"/>
      <c r="Z588" s="155">
        <f t="shared" si="75"/>
        <v>90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2876.34</v>
      </c>
      <c r="U589" s="15">
        <f t="shared" si="73"/>
        <v>351.55266666666694</v>
      </c>
      <c r="V589" s="313">
        <f t="shared" si="74"/>
        <v>959.77999999999975</v>
      </c>
      <c r="W589" s="245">
        <v>11040</v>
      </c>
      <c r="X589" s="312"/>
      <c r="Y589" s="313"/>
      <c r="Z589" s="114">
        <f t="shared" si="75"/>
        <v>90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5773.1754331653501</v>
      </c>
      <c r="U590" s="15">
        <f t="shared" si="73"/>
        <v>705.67029266809004</v>
      </c>
      <c r="V590" s="313">
        <f t="shared" si="74"/>
        <v>1925.3918110551176</v>
      </c>
      <c r="W590" s="245">
        <v>11055</v>
      </c>
      <c r="X590" s="312"/>
      <c r="Y590" s="313"/>
      <c r="Z590" s="114">
        <f t="shared" si="75"/>
        <v>90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5773.1754331653501</v>
      </c>
      <c r="U591" s="15">
        <f t="shared" si="73"/>
        <v>705.67029266809004</v>
      </c>
      <c r="V591" s="313">
        <f t="shared" si="74"/>
        <v>1925.3918110551176</v>
      </c>
      <c r="X591" s="312"/>
      <c r="Y591" s="313"/>
      <c r="Z591" s="114">
        <f t="shared" si="75"/>
        <v>90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5773.1754331653501</v>
      </c>
      <c r="U592" s="15">
        <f t="shared" si="73"/>
        <v>705.67029266809004</v>
      </c>
      <c r="V592" s="313">
        <f t="shared" si="74"/>
        <v>1925.3918110551176</v>
      </c>
      <c r="X592" s="312"/>
      <c r="Y592" s="313"/>
      <c r="Z592" s="114">
        <f t="shared" si="75"/>
        <v>90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5773.1754331653501</v>
      </c>
      <c r="U593" s="15">
        <f t="shared" si="73"/>
        <v>705.67029266809004</v>
      </c>
      <c r="V593" s="313">
        <f t="shared" si="74"/>
        <v>1925.3918110551176</v>
      </c>
      <c r="X593" s="312"/>
      <c r="Y593" s="313"/>
      <c r="Z593" s="114">
        <f t="shared" si="75"/>
        <v>90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5773.1754331653501</v>
      </c>
      <c r="U594" s="15">
        <f t="shared" si="73"/>
        <v>705.67029266809004</v>
      </c>
      <c r="V594" s="313">
        <f t="shared" si="74"/>
        <v>1925.3918110551176</v>
      </c>
      <c r="X594" s="312"/>
      <c r="Y594" s="313"/>
      <c r="Z594" s="114">
        <f t="shared" si="75"/>
        <v>90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5014.3166619493331</v>
      </c>
      <c r="U595" s="15">
        <f t="shared" si="73"/>
        <v>612.92023488061113</v>
      </c>
      <c r="V595" s="313">
        <f t="shared" si="74"/>
        <v>1672.4388873164444</v>
      </c>
      <c r="W595" s="245">
        <v>11055</v>
      </c>
      <c r="X595" s="312"/>
      <c r="Y595" s="313"/>
      <c r="Z595" s="114">
        <f t="shared" si="75"/>
        <v>90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5938.1447312557902</v>
      </c>
      <c r="U596" s="15">
        <f t="shared" si="73"/>
        <v>725.83334870884573</v>
      </c>
      <c r="V596" s="313">
        <f t="shared" si="74"/>
        <v>1980.3815770852625</v>
      </c>
      <c r="W596" s="245">
        <v>11055</v>
      </c>
      <c r="X596" s="312"/>
      <c r="Y596" s="313"/>
      <c r="Z596" s="114">
        <f t="shared" si="75"/>
        <v>90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5938.1447312557902</v>
      </c>
      <c r="U597" s="15">
        <f t="shared" si="73"/>
        <v>725.83334870884573</v>
      </c>
      <c r="V597" s="313">
        <f t="shared" si="74"/>
        <v>1980.3815770852625</v>
      </c>
      <c r="X597" s="312"/>
      <c r="Y597" s="313"/>
      <c r="Z597" s="114">
        <f t="shared" si="75"/>
        <v>90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5014.3166619493331</v>
      </c>
      <c r="U598" s="15">
        <f t="shared" si="73"/>
        <v>612.92023488061113</v>
      </c>
      <c r="V598" s="313">
        <f t="shared" si="74"/>
        <v>1672.4388873164444</v>
      </c>
      <c r="W598" s="245">
        <v>11055</v>
      </c>
      <c r="X598" s="312"/>
      <c r="Y598" s="313"/>
      <c r="Z598" s="114">
        <f t="shared" si="75"/>
        <v>90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5641.199994693</v>
      </c>
      <c r="U599" s="15">
        <f t="shared" si="73"/>
        <v>689.53984783548458</v>
      </c>
      <c r="V599" s="313">
        <f t="shared" si="74"/>
        <v>1881.3999982310006</v>
      </c>
      <c r="W599" s="245">
        <v>11055</v>
      </c>
      <c r="X599" s="312"/>
      <c r="Y599" s="313"/>
      <c r="Z599" s="114">
        <f t="shared" si="75"/>
        <v>90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5641.199994693</v>
      </c>
      <c r="U600" s="15">
        <f t="shared" si="73"/>
        <v>689.53984783548458</v>
      </c>
      <c r="V600" s="313">
        <f t="shared" si="74"/>
        <v>1881.3999982310006</v>
      </c>
      <c r="X600" s="312"/>
      <c r="Y600" s="313"/>
      <c r="Z600" s="114">
        <f t="shared" si="75"/>
        <v>90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3514.5333333333333</v>
      </c>
      <c r="U601" s="15">
        <f t="shared" si="73"/>
        <v>449.5333333333333</v>
      </c>
      <c r="V601" s="353">
        <f t="shared" si="74"/>
        <v>1390.4666666666667</v>
      </c>
      <c r="X601" s="354"/>
      <c r="Y601" s="353"/>
      <c r="Z601" s="225">
        <f t="shared" si="75"/>
        <v>86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16238.050000000001</v>
      </c>
      <c r="U602" s="15">
        <f t="shared" si="73"/>
        <v>2006.9499999999989</v>
      </c>
      <c r="V602" s="313">
        <f t="shared" si="74"/>
        <v>5656.9499999999989</v>
      </c>
      <c r="W602" s="245">
        <v>11121</v>
      </c>
      <c r="X602" s="312"/>
      <c r="Y602" s="313"/>
      <c r="Z602" s="114">
        <f t="shared" si="75"/>
        <v>89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3799.0141666666673</v>
      </c>
      <c r="U603" s="15">
        <f t="shared" si="73"/>
        <v>485.92041666666682</v>
      </c>
      <c r="V603" s="319">
        <f t="shared" si="74"/>
        <v>1502.9358333333325</v>
      </c>
      <c r="X603" s="320"/>
      <c r="Y603" s="319"/>
      <c r="Z603" s="155">
        <f t="shared" si="75"/>
        <v>86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7">
        <v>2461.9573262534286</v>
      </c>
      <c r="T604" s="335">
        <f t="shared" si="72"/>
        <v>2809.2592493929587</v>
      </c>
      <c r="U604" s="579">
        <f t="shared" si="73"/>
        <v>347.30192313953012</v>
      </c>
      <c r="V604" s="335">
        <f t="shared" si="74"/>
        <v>979.50603068743476</v>
      </c>
      <c r="W604" s="334">
        <v>11148</v>
      </c>
      <c r="X604" s="312"/>
      <c r="Y604" s="313"/>
      <c r="Z604" s="114">
        <f t="shared" si="75"/>
        <v>89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7">
        <v>5141.772113815452</v>
      </c>
      <c r="T605" s="335">
        <f t="shared" si="72"/>
        <v>5867.0006141437125</v>
      </c>
      <c r="U605" s="579">
        <f t="shared" si="73"/>
        <v>725.22850032826045</v>
      </c>
      <c r="V605" s="335">
        <f t="shared" si="74"/>
        <v>2044.5620116680348</v>
      </c>
      <c r="W605" s="334">
        <v>11148</v>
      </c>
      <c r="X605" s="312"/>
      <c r="Y605" s="313"/>
      <c r="Z605" s="114">
        <f t="shared" si="75"/>
        <v>89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7">
        <v>4128.8277682776543</v>
      </c>
      <c r="T606" s="335">
        <f t="shared" ref="T606:T656" si="78">Z606*R606</f>
        <v>4711.2036389508448</v>
      </c>
      <c r="U606" s="579">
        <f t="shared" ref="U606:U656" si="79">T606-S606</f>
        <v>582.37587067319055</v>
      </c>
      <c r="V606" s="335">
        <f t="shared" ref="V606:V656" si="80">N606-T606</f>
        <v>1641.9810427806306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89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7">
        <v>3163.7525226133716</v>
      </c>
      <c r="T607" s="335">
        <f t="shared" si="78"/>
        <v>3610.0266052016882</v>
      </c>
      <c r="U607" s="579">
        <f t="shared" si="79"/>
        <v>446.27408258831656</v>
      </c>
      <c r="V607" s="335">
        <f t="shared" si="80"/>
        <v>1258.4249973174424</v>
      </c>
      <c r="W607" s="334">
        <v>11148</v>
      </c>
      <c r="X607" s="312"/>
      <c r="Y607" s="313"/>
      <c r="Z607" s="114">
        <f t="shared" si="81"/>
        <v>89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7">
        <v>9314.9318563602028</v>
      </c>
      <c r="T608" s="335">
        <f t="shared" si="78"/>
        <v>10628.689080718892</v>
      </c>
      <c r="U608" s="579">
        <f t="shared" si="79"/>
        <v>1313.7572243586892</v>
      </c>
      <c r="V608" s="335">
        <f t="shared" si="80"/>
        <v>3703.1276573290525</v>
      </c>
      <c r="W608" s="334">
        <v>11148</v>
      </c>
      <c r="X608" s="312"/>
      <c r="Y608" s="313"/>
      <c r="Z608" s="114">
        <f t="shared" si="81"/>
        <v>89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7">
        <v>3503.9650538572901</v>
      </c>
      <c r="T609" s="335">
        <f t="shared" si="78"/>
        <v>3998.2183318909388</v>
      </c>
      <c r="U609" s="579">
        <f t="shared" si="79"/>
        <v>494.25327803364871</v>
      </c>
      <c r="V609" s="335">
        <f t="shared" si="80"/>
        <v>1393.6378459395405</v>
      </c>
      <c r="W609" s="334">
        <v>11148</v>
      </c>
      <c r="X609" s="312"/>
      <c r="Y609" s="313"/>
      <c r="Z609" s="114">
        <f t="shared" si="81"/>
        <v>89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7">
        <v>4056.1693131124944</v>
      </c>
      <c r="T610" s="335">
        <f t="shared" si="78"/>
        <v>4628.2983706880641</v>
      </c>
      <c r="U610" s="579">
        <f t="shared" si="79"/>
        <v>572.12905757556973</v>
      </c>
      <c r="V610" s="335">
        <f t="shared" si="80"/>
        <v>1613.1039268688764</v>
      </c>
      <c r="W610" s="334"/>
      <c r="X610" s="312"/>
      <c r="Y610" s="313"/>
      <c r="Z610" s="114">
        <f t="shared" si="81"/>
        <v>89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7">
        <v>3799.0324166666669</v>
      </c>
      <c r="T611" s="335">
        <f t="shared" si="78"/>
        <v>4341.7513333333336</v>
      </c>
      <c r="U611" s="579">
        <f t="shared" si="79"/>
        <v>542.7189166666667</v>
      </c>
      <c r="V611" s="335">
        <f t="shared" si="80"/>
        <v>1579.8186666666661</v>
      </c>
      <c r="W611" s="334"/>
      <c r="X611" s="312"/>
      <c r="Y611" s="313"/>
      <c r="Z611" s="114">
        <f t="shared" si="81"/>
        <v>88</v>
      </c>
    </row>
    <row r="612" spans="1:26" s="245" customFormat="1" hidden="1" x14ac:dyDescent="0.25">
      <c r="A612" s="245" t="s">
        <v>2043</v>
      </c>
      <c r="B612" s="245" t="s">
        <v>2850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2851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12242.142000000003</v>
      </c>
      <c r="U612" s="15">
        <f t="shared" si="79"/>
        <v>1530.2677500000009</v>
      </c>
      <c r="V612" s="313">
        <f t="shared" si="80"/>
        <v>4452.6879999999983</v>
      </c>
      <c r="W612" s="245">
        <v>11224</v>
      </c>
      <c r="X612" s="312"/>
      <c r="Y612" s="313"/>
      <c r="Z612" s="114">
        <f t="shared" si="81"/>
        <v>88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7">
        <v>19980</v>
      </c>
      <c r="O613" s="568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14484.775000000001</v>
      </c>
      <c r="U613" s="562">
        <f t="shared" si="79"/>
        <v>1831.4083333333347</v>
      </c>
      <c r="V613" s="319">
        <f t="shared" si="80"/>
        <v>5495.2249999999985</v>
      </c>
      <c r="W613" s="318">
        <v>11325</v>
      </c>
      <c r="X613" s="320"/>
      <c r="Y613" s="319"/>
      <c r="Z613" s="155">
        <f t="shared" si="81"/>
        <v>87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5035.7999999999993</v>
      </c>
      <c r="U614" s="15">
        <f t="shared" si="79"/>
        <v>659.44999999999982</v>
      </c>
      <c r="V614" s="313">
        <f t="shared" si="80"/>
        <v>2159.2000000000007</v>
      </c>
      <c r="W614" s="245">
        <v>11797</v>
      </c>
      <c r="X614" s="312"/>
      <c r="Y614" s="313"/>
      <c r="Z614" s="137">
        <f t="shared" si="81"/>
        <v>84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5035.7999999999993</v>
      </c>
      <c r="U615" s="15">
        <f t="shared" si="79"/>
        <v>659.44999999999982</v>
      </c>
      <c r="V615" s="313">
        <f t="shared" si="80"/>
        <v>2159.2000000000007</v>
      </c>
      <c r="W615" s="245">
        <v>11797</v>
      </c>
      <c r="X615" s="312"/>
      <c r="Y615" s="313"/>
      <c r="Z615" s="114">
        <f t="shared" si="81"/>
        <v>84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5035.7999999999993</v>
      </c>
      <c r="U616" s="15">
        <f t="shared" si="79"/>
        <v>659.44999999999982</v>
      </c>
      <c r="V616" s="313">
        <f t="shared" si="80"/>
        <v>2159.2000000000007</v>
      </c>
      <c r="W616" s="245">
        <v>11797</v>
      </c>
      <c r="X616" s="312"/>
      <c r="Y616" s="313"/>
      <c r="Z616" s="114">
        <f t="shared" si="81"/>
        <v>84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5035.7999999999993</v>
      </c>
      <c r="U617" s="15">
        <f t="shared" si="79"/>
        <v>659.44999999999982</v>
      </c>
      <c r="V617" s="313">
        <f t="shared" si="80"/>
        <v>2159.2000000000007</v>
      </c>
      <c r="W617" s="245">
        <v>11797</v>
      </c>
      <c r="X617" s="312"/>
      <c r="Y617" s="313"/>
      <c r="Z617" s="114">
        <f t="shared" si="81"/>
        <v>84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5035.7999999999993</v>
      </c>
      <c r="U618" s="15">
        <f t="shared" si="79"/>
        <v>659.44999999999982</v>
      </c>
      <c r="V618" s="313">
        <f t="shared" si="80"/>
        <v>2159.2000000000007</v>
      </c>
      <c r="W618" s="245">
        <v>11797</v>
      </c>
      <c r="X618" s="312"/>
      <c r="Y618" s="313"/>
      <c r="Z618" s="114">
        <f t="shared" si="81"/>
        <v>84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3582.6166666666663</v>
      </c>
      <c r="U619" s="15">
        <f t="shared" si="79"/>
        <v>458.24166666666633</v>
      </c>
      <c r="V619" s="313">
        <f t="shared" si="80"/>
        <v>1417.3833333333337</v>
      </c>
      <c r="W619" s="245">
        <v>11444</v>
      </c>
      <c r="X619" s="312"/>
      <c r="Y619" s="313"/>
      <c r="Z619" s="114">
        <f t="shared" si="81"/>
        <v>86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3582.6166666666663</v>
      </c>
      <c r="U620" s="15">
        <f t="shared" si="79"/>
        <v>458.24166666666633</v>
      </c>
      <c r="V620" s="313">
        <f t="shared" si="80"/>
        <v>1417.3833333333337</v>
      </c>
      <c r="W620" s="245">
        <v>11444</v>
      </c>
      <c r="X620" s="312"/>
      <c r="Y620" s="313"/>
      <c r="Z620" s="114">
        <f t="shared" si="81"/>
        <v>86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9325.0874999999996</v>
      </c>
      <c r="U621" s="15">
        <f t="shared" si="79"/>
        <v>1192.7437500000005</v>
      </c>
      <c r="V621" s="313">
        <f t="shared" si="80"/>
        <v>3687.6625000000004</v>
      </c>
      <c r="W621" s="245">
        <v>11485</v>
      </c>
      <c r="X621" s="312"/>
      <c r="Y621" s="313"/>
      <c r="Z621" s="114">
        <f t="shared" si="81"/>
        <v>86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9476.4833333333336</v>
      </c>
      <c r="U622" s="15">
        <f t="shared" si="79"/>
        <v>1212.1083333333336</v>
      </c>
      <c r="V622" s="313">
        <f t="shared" si="80"/>
        <v>3747.5166666666664</v>
      </c>
      <c r="W622" s="245">
        <v>11485</v>
      </c>
      <c r="X622" s="312"/>
      <c r="Y622" s="313"/>
      <c r="Z622" s="114">
        <f t="shared" si="81"/>
        <v>86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12298.860000000002</v>
      </c>
      <c r="U623" s="15">
        <f t="shared" si="79"/>
        <v>1573.1100000000006</v>
      </c>
      <c r="V623" s="313">
        <f t="shared" si="80"/>
        <v>4863.3399999999983</v>
      </c>
      <c r="W623" s="245">
        <v>11486</v>
      </c>
      <c r="X623" s="312"/>
      <c r="Y623" s="313"/>
      <c r="Z623" s="114">
        <f t="shared" si="81"/>
        <v>86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2906.4560000000001</v>
      </c>
      <c r="U624" s="15">
        <f t="shared" si="79"/>
        <v>371.75600000000031</v>
      </c>
      <c r="V624" s="313">
        <f t="shared" si="80"/>
        <v>1150.0639999999999</v>
      </c>
      <c r="W624" s="245">
        <v>11486</v>
      </c>
      <c r="X624" s="312"/>
      <c r="Y624" s="313"/>
      <c r="Z624" s="114">
        <f t="shared" si="81"/>
        <v>86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2021.9173333333335</v>
      </c>
      <c r="U625" s="15">
        <f t="shared" si="79"/>
        <v>258.61733333333336</v>
      </c>
      <c r="V625" s="313">
        <f t="shared" si="80"/>
        <v>800.36266666666666</v>
      </c>
      <c r="W625" s="245">
        <v>11486</v>
      </c>
      <c r="X625" s="312"/>
      <c r="Y625" s="313"/>
      <c r="Z625" s="114">
        <f t="shared" si="81"/>
        <v>86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4116.0459999999994</v>
      </c>
      <c r="U626" s="15">
        <f t="shared" si="79"/>
        <v>526.47099999999955</v>
      </c>
      <c r="V626" s="313">
        <f t="shared" si="80"/>
        <v>1628.2740000000003</v>
      </c>
      <c r="W626" s="245">
        <v>11486</v>
      </c>
      <c r="X626" s="312"/>
      <c r="Y626" s="313"/>
      <c r="Z626" s="114">
        <f t="shared" si="81"/>
        <v>86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4116.0459999999994</v>
      </c>
      <c r="U627" s="15">
        <f t="shared" si="79"/>
        <v>526.47099999999955</v>
      </c>
      <c r="V627" s="313">
        <f t="shared" si="80"/>
        <v>1628.2740000000003</v>
      </c>
      <c r="W627" s="245">
        <v>11486</v>
      </c>
      <c r="X627" s="312"/>
      <c r="Y627" s="313"/>
      <c r="Z627" s="114">
        <f t="shared" si="81"/>
        <v>86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4116.0459999999994</v>
      </c>
      <c r="U628" s="15">
        <f t="shared" si="79"/>
        <v>526.47099999999955</v>
      </c>
      <c r="V628" s="313">
        <f t="shared" si="80"/>
        <v>1628.2740000000003</v>
      </c>
      <c r="W628" s="245">
        <v>11486</v>
      </c>
      <c r="X628" s="312"/>
      <c r="Y628" s="313"/>
      <c r="Z628" s="114">
        <f t="shared" si="81"/>
        <v>86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4116.0459999999994</v>
      </c>
      <c r="U629" s="15">
        <f t="shared" si="79"/>
        <v>526.47099999999955</v>
      </c>
      <c r="V629" s="313">
        <f t="shared" si="80"/>
        <v>1628.2740000000003</v>
      </c>
      <c r="W629" s="245">
        <v>11486</v>
      </c>
      <c r="X629" s="312"/>
      <c r="Y629" s="313"/>
      <c r="Z629" s="114">
        <f t="shared" si="81"/>
        <v>86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9734.1966666666667</v>
      </c>
      <c r="U630" s="15">
        <f t="shared" si="79"/>
        <v>1245.0716666666667</v>
      </c>
      <c r="V630" s="313">
        <f t="shared" si="80"/>
        <v>3849.4033333333336</v>
      </c>
      <c r="W630" s="245">
        <v>11486</v>
      </c>
      <c r="X630" s="312"/>
      <c r="Y630" s="313"/>
      <c r="Z630" s="114">
        <f t="shared" si="81"/>
        <v>86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2757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2854.9133333333334</v>
      </c>
      <c r="U631" s="15">
        <f t="shared" si="79"/>
        <v>365.16333333333341</v>
      </c>
      <c r="V631" s="313">
        <f t="shared" si="80"/>
        <v>1129.6866666666665</v>
      </c>
      <c r="W631" s="245">
        <v>11486</v>
      </c>
      <c r="X631" s="312"/>
      <c r="Y631" s="313"/>
      <c r="Z631" s="114">
        <f t="shared" si="81"/>
        <v>86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2757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2854.9133333333334</v>
      </c>
      <c r="U632" s="15">
        <f t="shared" si="79"/>
        <v>365.16333333333341</v>
      </c>
      <c r="V632" s="313">
        <f t="shared" si="80"/>
        <v>1129.6866666666665</v>
      </c>
      <c r="W632" s="245">
        <v>11486</v>
      </c>
      <c r="X632" s="312"/>
      <c r="Y632" s="313"/>
      <c r="Z632" s="114">
        <f t="shared" si="81"/>
        <v>86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2757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2854.9133333333334</v>
      </c>
      <c r="U633" s="15">
        <f t="shared" si="79"/>
        <v>365.16333333333341</v>
      </c>
      <c r="V633" s="313">
        <f t="shared" si="80"/>
        <v>1129.6866666666665</v>
      </c>
      <c r="W633" s="245">
        <v>11486</v>
      </c>
      <c r="X633" s="312"/>
      <c r="Y633" s="313"/>
      <c r="Z633" s="114">
        <f t="shared" si="81"/>
        <v>86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2757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2854.9133333333334</v>
      </c>
      <c r="U634" s="15">
        <f t="shared" si="79"/>
        <v>365.16333333333341</v>
      </c>
      <c r="V634" s="313">
        <f t="shared" si="80"/>
        <v>1129.6866666666665</v>
      </c>
      <c r="W634" s="245">
        <v>11486</v>
      </c>
      <c r="X634" s="312"/>
      <c r="Y634" s="313"/>
      <c r="Z634" s="114">
        <f t="shared" si="81"/>
        <v>86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2757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2854.9133333333334</v>
      </c>
      <c r="U635" s="15">
        <f t="shared" si="79"/>
        <v>365.16333333333341</v>
      </c>
      <c r="V635" s="313">
        <f t="shared" si="80"/>
        <v>1129.6866666666665</v>
      </c>
      <c r="W635" s="245">
        <v>11486</v>
      </c>
      <c r="X635" s="312"/>
      <c r="Y635" s="313"/>
      <c r="Z635" s="114">
        <f t="shared" si="81"/>
        <v>86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8348.4500000000007</v>
      </c>
      <c r="U636" s="15">
        <f t="shared" si="79"/>
        <v>1067.8250000000007</v>
      </c>
      <c r="V636" s="313">
        <f t="shared" si="80"/>
        <v>3301.5499999999993</v>
      </c>
      <c r="W636" s="245">
        <v>11489</v>
      </c>
      <c r="X636" s="312"/>
      <c r="Y636" s="313"/>
      <c r="Z636" s="114">
        <f t="shared" si="81"/>
        <v>86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52">
        <v>6526.8554999999997</v>
      </c>
      <c r="O637" s="652"/>
      <c r="P637" s="334"/>
      <c r="Q637" s="334">
        <v>10</v>
      </c>
      <c r="R637" s="178">
        <f t="shared" si="77"/>
        <v>54.382129166666665</v>
      </c>
      <c r="S637" s="577">
        <v>4078.6596875</v>
      </c>
      <c r="T637" s="335">
        <f t="shared" si="78"/>
        <v>4676.863108333333</v>
      </c>
      <c r="U637" s="579">
        <f t="shared" si="79"/>
        <v>598.20342083333298</v>
      </c>
      <c r="V637" s="335">
        <f t="shared" si="80"/>
        <v>1849.9923916666667</v>
      </c>
      <c r="W637" s="334">
        <v>11496</v>
      </c>
      <c r="X637" s="312"/>
      <c r="Y637" s="313"/>
      <c r="Z637" s="114">
        <f t="shared" si="81"/>
        <v>86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52">
        <v>6526.8554999999997</v>
      </c>
      <c r="O638" s="653"/>
      <c r="P638" s="334"/>
      <c r="Q638" s="334">
        <v>10</v>
      </c>
      <c r="R638" s="178">
        <f t="shared" si="77"/>
        <v>54.382129166666665</v>
      </c>
      <c r="S638" s="577">
        <v>4078.6596875</v>
      </c>
      <c r="T638" s="335">
        <f t="shared" si="78"/>
        <v>4676.863108333333</v>
      </c>
      <c r="U638" s="579">
        <f t="shared" si="79"/>
        <v>598.20342083333298</v>
      </c>
      <c r="V638" s="335">
        <f t="shared" si="80"/>
        <v>1849.9923916666667</v>
      </c>
      <c r="W638" s="334">
        <v>11496</v>
      </c>
      <c r="X638" s="312"/>
      <c r="Y638" s="313"/>
      <c r="Z638" s="114">
        <f t="shared" si="81"/>
        <v>86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52">
        <v>6526.8554999999997</v>
      </c>
      <c r="O639" s="653"/>
      <c r="P639" s="334"/>
      <c r="Q639" s="334">
        <v>10</v>
      </c>
      <c r="R639" s="178">
        <f t="shared" si="77"/>
        <v>54.382129166666665</v>
      </c>
      <c r="S639" s="577">
        <v>4078.6596875</v>
      </c>
      <c r="T639" s="335">
        <f t="shared" si="78"/>
        <v>4676.863108333333</v>
      </c>
      <c r="U639" s="579">
        <f t="shared" si="79"/>
        <v>598.20342083333298</v>
      </c>
      <c r="V639" s="335">
        <f t="shared" si="80"/>
        <v>1849.9923916666667</v>
      </c>
      <c r="W639" s="334">
        <v>11496</v>
      </c>
      <c r="X639" s="312"/>
      <c r="Y639" s="313"/>
      <c r="Z639" s="114">
        <f t="shared" si="81"/>
        <v>86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52">
        <v>6526.8554999999997</v>
      </c>
      <c r="O640" s="653"/>
      <c r="P640" s="334"/>
      <c r="Q640" s="334">
        <v>10</v>
      </c>
      <c r="R640" s="178">
        <f t="shared" si="77"/>
        <v>54.382129166666665</v>
      </c>
      <c r="S640" s="577">
        <v>4078.6596875</v>
      </c>
      <c r="T640" s="335">
        <f t="shared" si="78"/>
        <v>4676.863108333333</v>
      </c>
      <c r="U640" s="579">
        <f t="shared" si="79"/>
        <v>598.20342083333298</v>
      </c>
      <c r="V640" s="335">
        <f t="shared" si="80"/>
        <v>1849.9923916666667</v>
      </c>
      <c r="W640" s="334">
        <v>11496</v>
      </c>
      <c r="X640" s="312"/>
      <c r="Y640" s="313"/>
      <c r="Z640" s="114">
        <f t="shared" si="81"/>
        <v>86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52">
        <v>6526.8554999999997</v>
      </c>
      <c r="O641" s="653"/>
      <c r="P641" s="334"/>
      <c r="Q641" s="334">
        <v>10</v>
      </c>
      <c r="R641" s="178">
        <f t="shared" si="77"/>
        <v>54.382129166666665</v>
      </c>
      <c r="S641" s="577">
        <v>4078.6596875</v>
      </c>
      <c r="T641" s="335">
        <f t="shared" si="78"/>
        <v>4676.863108333333</v>
      </c>
      <c r="U641" s="579">
        <f t="shared" si="79"/>
        <v>598.20342083333298</v>
      </c>
      <c r="V641" s="335">
        <f t="shared" si="80"/>
        <v>1849.9923916666667</v>
      </c>
      <c r="W641" s="334">
        <v>11496</v>
      </c>
      <c r="X641" s="312"/>
      <c r="Y641" s="313"/>
      <c r="Z641" s="114">
        <f t="shared" si="81"/>
        <v>86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52">
        <v>6526.8554999999997</v>
      </c>
      <c r="O642" s="653"/>
      <c r="P642" s="334"/>
      <c r="Q642" s="334">
        <v>10</v>
      </c>
      <c r="R642" s="178">
        <f t="shared" si="77"/>
        <v>54.382129166666665</v>
      </c>
      <c r="S642" s="577">
        <v>4078.6596875</v>
      </c>
      <c r="T642" s="335">
        <f t="shared" si="78"/>
        <v>4676.863108333333</v>
      </c>
      <c r="U642" s="579">
        <f t="shared" si="79"/>
        <v>598.20342083333298</v>
      </c>
      <c r="V642" s="335">
        <f t="shared" si="80"/>
        <v>1849.9923916666667</v>
      </c>
      <c r="W642" s="334">
        <v>11496</v>
      </c>
      <c r="X642" s="312"/>
      <c r="Y642" s="313"/>
      <c r="Z642" s="114">
        <f t="shared" si="81"/>
        <v>86</v>
      </c>
    </row>
    <row r="643" spans="1:26" s="245" customFormat="1" x14ac:dyDescent="0.25">
      <c r="A643" s="245" t="s">
        <v>2115</v>
      </c>
      <c r="B643" s="245" t="s">
        <v>2866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447424.19708333327</v>
      </c>
      <c r="U643" s="15">
        <f t="shared" si="79"/>
        <v>57901.954916666669</v>
      </c>
      <c r="V643" s="313">
        <f t="shared" si="80"/>
        <v>184234.49291666667</v>
      </c>
      <c r="W643" s="245">
        <v>11642</v>
      </c>
      <c r="X643" s="312"/>
      <c r="Y643" s="313"/>
      <c r="Z643" s="114">
        <f t="shared" si="81"/>
        <v>85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2852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52195.082402932392</v>
      </c>
      <c r="U644" s="15">
        <f t="shared" si="79"/>
        <v>6758.4464900926832</v>
      </c>
      <c r="V644" s="313">
        <f t="shared" si="80"/>
        <v>21493.092754148638</v>
      </c>
      <c r="W644" s="245">
        <v>11645</v>
      </c>
      <c r="X644" s="312"/>
      <c r="Y644" s="313"/>
      <c r="Z644" s="114">
        <f t="shared" si="81"/>
        <v>85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2852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49532.034881258682</v>
      </c>
      <c r="U645" s="15">
        <f t="shared" si="79"/>
        <v>6413.6419893397979</v>
      </c>
      <c r="V645" s="313">
        <f t="shared" si="80"/>
        <v>20396.543774635931</v>
      </c>
      <c r="W645" s="245">
        <v>11645</v>
      </c>
      <c r="X645" s="312"/>
      <c r="Y645" s="313"/>
      <c r="Z645" s="114">
        <f t="shared" si="81"/>
        <v>85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12772.595833333335</v>
      </c>
      <c r="U646" s="15">
        <f t="shared" si="79"/>
        <v>1652.9241666666676</v>
      </c>
      <c r="V646" s="313">
        <f t="shared" si="80"/>
        <v>5260.3041666666668</v>
      </c>
      <c r="W646" s="245">
        <v>11657</v>
      </c>
      <c r="X646" s="312"/>
      <c r="Y646" s="313"/>
      <c r="Z646" s="114">
        <f t="shared" si="81"/>
        <v>85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2756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14544.194</v>
      </c>
      <c r="U647" s="15">
        <f t="shared" si="79"/>
        <v>1731.4516666666677</v>
      </c>
      <c r="V647" s="313">
        <f t="shared" si="80"/>
        <v>6234.2259999999987</v>
      </c>
      <c r="W647" s="245">
        <v>11658</v>
      </c>
      <c r="X647" s="312"/>
      <c r="Y647" s="313"/>
      <c r="Z647" s="114">
        <f t="shared" si="81"/>
        <v>84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2755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9352.5669999999991</v>
      </c>
      <c r="U648" s="15">
        <f t="shared" si="79"/>
        <v>1113.4008333333331</v>
      </c>
      <c r="V648" s="313">
        <f t="shared" si="80"/>
        <v>4009.2430000000004</v>
      </c>
      <c r="W648" s="245">
        <v>11658</v>
      </c>
      <c r="X648" s="312"/>
      <c r="Y648" s="313"/>
      <c r="Z648" s="114">
        <f t="shared" si="81"/>
        <v>84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2755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9352.5669999999991</v>
      </c>
      <c r="U649" s="15">
        <f t="shared" si="79"/>
        <v>1113.4008333333331</v>
      </c>
      <c r="V649" s="313">
        <f t="shared" si="80"/>
        <v>4009.2430000000004</v>
      </c>
      <c r="W649" s="245">
        <v>11658</v>
      </c>
      <c r="X649" s="312"/>
      <c r="Y649" s="313"/>
      <c r="Z649" s="114">
        <f t="shared" si="81"/>
        <v>84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2755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9352.5669999999991</v>
      </c>
      <c r="U650" s="15">
        <f t="shared" si="79"/>
        <v>1113.4008333333331</v>
      </c>
      <c r="V650" s="313">
        <f t="shared" si="80"/>
        <v>4009.2430000000004</v>
      </c>
      <c r="W650" s="245">
        <v>11658</v>
      </c>
      <c r="X650" s="312"/>
      <c r="Y650" s="313"/>
      <c r="Z650" s="114">
        <f t="shared" si="81"/>
        <v>84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2752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8826.9719999999979</v>
      </c>
      <c r="U651" s="15">
        <f t="shared" si="79"/>
        <v>1050.829999999999</v>
      </c>
      <c r="V651" s="313">
        <f t="shared" si="80"/>
        <v>3783.9880000000012</v>
      </c>
      <c r="W651" s="245">
        <v>11658</v>
      </c>
      <c r="X651" s="312"/>
      <c r="Y651" s="313"/>
      <c r="Z651" s="114">
        <f t="shared" si="81"/>
        <v>84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2752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8826.9719999999979</v>
      </c>
      <c r="U652" s="15">
        <f t="shared" si="79"/>
        <v>1050.829999999999</v>
      </c>
      <c r="V652" s="313">
        <f t="shared" si="80"/>
        <v>3783.9880000000012</v>
      </c>
      <c r="W652" s="245">
        <v>11658</v>
      </c>
      <c r="X652" s="312"/>
      <c r="Y652" s="313"/>
      <c r="Z652" s="114">
        <f t="shared" si="81"/>
        <v>84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2752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8826.9719999999979</v>
      </c>
      <c r="U653" s="15">
        <f t="shared" si="79"/>
        <v>1050.829999999999</v>
      </c>
      <c r="V653" s="313">
        <f t="shared" si="80"/>
        <v>3783.9880000000012</v>
      </c>
      <c r="W653" s="245">
        <v>11658</v>
      </c>
      <c r="X653" s="312"/>
      <c r="Y653" s="313"/>
      <c r="Z653" s="114">
        <f t="shared" si="81"/>
        <v>84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2752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8826.9719999999979</v>
      </c>
      <c r="U654" s="15">
        <f t="shared" si="79"/>
        <v>1050.829999999999</v>
      </c>
      <c r="V654" s="313">
        <f t="shared" si="80"/>
        <v>3783.9880000000012</v>
      </c>
      <c r="W654" s="245">
        <v>11658</v>
      </c>
      <c r="X654" s="312"/>
      <c r="Y654" s="313"/>
      <c r="Z654" s="114">
        <f t="shared" si="81"/>
        <v>84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2752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8826.9719999999979</v>
      </c>
      <c r="U655" s="15">
        <f t="shared" si="79"/>
        <v>1050.829999999999</v>
      </c>
      <c r="V655" s="313">
        <f t="shared" si="80"/>
        <v>3783.9880000000012</v>
      </c>
      <c r="W655" s="245">
        <v>11658</v>
      </c>
      <c r="X655" s="312"/>
      <c r="Y655" s="313"/>
      <c r="Z655" s="114">
        <f t="shared" si="81"/>
        <v>84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2752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8826.9719999999979</v>
      </c>
      <c r="U656" s="15">
        <f t="shared" si="79"/>
        <v>1050.829999999999</v>
      </c>
      <c r="V656" s="313">
        <f t="shared" si="80"/>
        <v>3783.9880000000012</v>
      </c>
      <c r="W656" s="245">
        <v>11658</v>
      </c>
      <c r="X656" s="312"/>
      <c r="Y656" s="313"/>
      <c r="Z656" s="114">
        <f t="shared" si="81"/>
        <v>84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2752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8826.9719999999979</v>
      </c>
      <c r="U657" s="15">
        <f t="shared" ref="U657:U683" si="85">T657-S657</f>
        <v>1050.829999999999</v>
      </c>
      <c r="V657" s="313">
        <f t="shared" ref="V657:V683" si="86">N657-T657</f>
        <v>3783.9880000000012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84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2752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8826.9719999999979</v>
      </c>
      <c r="U658" s="15">
        <f t="shared" si="85"/>
        <v>1050.829999999999</v>
      </c>
      <c r="V658" s="313">
        <f t="shared" si="86"/>
        <v>3783.9880000000012</v>
      </c>
      <c r="W658" s="245">
        <v>11658</v>
      </c>
      <c r="X658" s="312"/>
      <c r="Y658" s="313"/>
      <c r="Z658" s="114">
        <f t="shared" si="87"/>
        <v>84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2752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8826.9719999999979</v>
      </c>
      <c r="U659" s="15">
        <f t="shared" si="85"/>
        <v>1050.829999999999</v>
      </c>
      <c r="V659" s="313">
        <f t="shared" si="86"/>
        <v>3783.9880000000012</v>
      </c>
      <c r="W659" s="245">
        <v>11658</v>
      </c>
      <c r="X659" s="312"/>
      <c r="Y659" s="313"/>
      <c r="Z659" s="114">
        <f t="shared" si="87"/>
        <v>84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2752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8826.9719999999979</v>
      </c>
      <c r="U660" s="15">
        <f t="shared" si="85"/>
        <v>1050.829999999999</v>
      </c>
      <c r="V660" s="313">
        <f t="shared" si="86"/>
        <v>3783.9880000000012</v>
      </c>
      <c r="W660" s="245">
        <v>11658</v>
      </c>
      <c r="X660" s="312"/>
      <c r="Y660" s="313"/>
      <c r="Z660" s="114">
        <f t="shared" si="87"/>
        <v>84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2752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8826.9719999999979</v>
      </c>
      <c r="U661" s="15">
        <f t="shared" si="85"/>
        <v>1050.829999999999</v>
      </c>
      <c r="V661" s="313">
        <f t="shared" si="86"/>
        <v>3783.9880000000012</v>
      </c>
      <c r="W661" s="245">
        <v>11658</v>
      </c>
      <c r="X661" s="312"/>
      <c r="Y661" s="313"/>
      <c r="Z661" s="114">
        <f t="shared" si="87"/>
        <v>84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2752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8826.9719999999979</v>
      </c>
      <c r="U662" s="15">
        <f t="shared" si="85"/>
        <v>1050.829999999999</v>
      </c>
      <c r="V662" s="313">
        <f t="shared" si="86"/>
        <v>3783.9880000000012</v>
      </c>
      <c r="W662" s="245">
        <v>11658</v>
      </c>
      <c r="X662" s="312"/>
      <c r="Y662" s="313"/>
      <c r="Z662" s="114">
        <f t="shared" si="87"/>
        <v>84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2752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8826.9719999999979</v>
      </c>
      <c r="U663" s="15">
        <f t="shared" si="85"/>
        <v>1050.829999999999</v>
      </c>
      <c r="V663" s="313">
        <f t="shared" si="86"/>
        <v>3783.9880000000012</v>
      </c>
      <c r="W663" s="245">
        <v>11658</v>
      </c>
      <c r="X663" s="312"/>
      <c r="Y663" s="313"/>
      <c r="Z663" s="114">
        <f t="shared" si="87"/>
        <v>84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2752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8826.9719999999979</v>
      </c>
      <c r="U664" s="15">
        <f t="shared" si="85"/>
        <v>1050.829999999999</v>
      </c>
      <c r="V664" s="313">
        <f t="shared" si="86"/>
        <v>3783.9880000000012</v>
      </c>
      <c r="W664" s="245">
        <v>11658</v>
      </c>
      <c r="X664" s="312"/>
      <c r="Y664" s="313"/>
      <c r="Z664" s="114">
        <f t="shared" si="87"/>
        <v>84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2752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8826.9719999999979</v>
      </c>
      <c r="U665" s="15">
        <f t="shared" si="85"/>
        <v>1050.829999999999</v>
      </c>
      <c r="V665" s="313">
        <f t="shared" si="86"/>
        <v>3783.9880000000012</v>
      </c>
      <c r="W665" s="245">
        <v>11658</v>
      </c>
      <c r="X665" s="312"/>
      <c r="Y665" s="313"/>
      <c r="Z665" s="114">
        <f t="shared" si="87"/>
        <v>84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2752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8826.9719999999979</v>
      </c>
      <c r="U666" s="15">
        <f t="shared" si="85"/>
        <v>1050.829999999999</v>
      </c>
      <c r="V666" s="313">
        <f t="shared" si="86"/>
        <v>3783.9880000000012</v>
      </c>
      <c r="W666" s="245">
        <v>11658</v>
      </c>
      <c r="X666" s="312"/>
      <c r="Y666" s="313"/>
      <c r="Z666" s="114">
        <f t="shared" si="87"/>
        <v>84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2752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8826.9719999999979</v>
      </c>
      <c r="U667" s="15">
        <f t="shared" si="85"/>
        <v>1050.829999999999</v>
      </c>
      <c r="V667" s="313">
        <f t="shared" si="86"/>
        <v>3783.9880000000012</v>
      </c>
      <c r="W667" s="245">
        <v>11658</v>
      </c>
      <c r="X667" s="312"/>
      <c r="Y667" s="313"/>
      <c r="Z667" s="114">
        <f t="shared" si="87"/>
        <v>84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2752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8826.9719999999979</v>
      </c>
      <c r="U668" s="15">
        <f t="shared" si="85"/>
        <v>1050.829999999999</v>
      </c>
      <c r="V668" s="313">
        <f t="shared" si="86"/>
        <v>3783.9880000000012</v>
      </c>
      <c r="W668" s="245">
        <v>11658</v>
      </c>
      <c r="X668" s="312"/>
      <c r="Y668" s="313"/>
      <c r="Z668" s="114">
        <f t="shared" si="87"/>
        <v>84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2752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8826.9719999999979</v>
      </c>
      <c r="U669" s="15">
        <f t="shared" si="85"/>
        <v>1050.829999999999</v>
      </c>
      <c r="V669" s="313">
        <f t="shared" si="86"/>
        <v>3783.9880000000012</v>
      </c>
      <c r="W669" s="245">
        <v>11658</v>
      </c>
      <c r="X669" s="312"/>
      <c r="Y669" s="313"/>
      <c r="Z669" s="114">
        <f t="shared" si="87"/>
        <v>84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2753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13993.168000000001</v>
      </c>
      <c r="U670" s="15">
        <f t="shared" si="85"/>
        <v>1665.8533333333326</v>
      </c>
      <c r="V670" s="313">
        <f t="shared" si="86"/>
        <v>5998.0720000000001</v>
      </c>
      <c r="W670" s="245">
        <v>11658</v>
      </c>
      <c r="X670" s="312"/>
      <c r="Y670" s="313"/>
      <c r="Z670" s="114">
        <f t="shared" si="87"/>
        <v>84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2753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13993.168000000001</v>
      </c>
      <c r="U671" s="15">
        <f t="shared" si="85"/>
        <v>1665.8533333333326</v>
      </c>
      <c r="V671" s="313">
        <f t="shared" si="86"/>
        <v>5998.0720000000001</v>
      </c>
      <c r="W671" s="245">
        <v>11658</v>
      </c>
      <c r="X671" s="312"/>
      <c r="Y671" s="313"/>
      <c r="Z671" s="114">
        <f t="shared" si="87"/>
        <v>84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2753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13993.168000000001</v>
      </c>
      <c r="U672" s="15">
        <f t="shared" si="85"/>
        <v>1665.8533333333326</v>
      </c>
      <c r="V672" s="313">
        <f t="shared" si="86"/>
        <v>5998.0720000000001</v>
      </c>
      <c r="W672" s="245">
        <v>11658</v>
      </c>
      <c r="X672" s="312"/>
      <c r="Y672" s="313"/>
      <c r="Z672" s="114">
        <f t="shared" si="87"/>
        <v>84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2753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13993.168000000001</v>
      </c>
      <c r="U673" s="15">
        <f t="shared" si="85"/>
        <v>1665.8533333333326</v>
      </c>
      <c r="V673" s="313">
        <f t="shared" si="86"/>
        <v>5998.0720000000001</v>
      </c>
      <c r="W673" s="245">
        <v>11658</v>
      </c>
      <c r="X673" s="312"/>
      <c r="Y673" s="313"/>
      <c r="Z673" s="114">
        <f t="shared" si="87"/>
        <v>84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2754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4904.116</v>
      </c>
      <c r="U674" s="15">
        <f t="shared" si="85"/>
        <v>583.82333333333372</v>
      </c>
      <c r="V674" s="313">
        <f t="shared" si="86"/>
        <v>2102.7640000000001</v>
      </c>
      <c r="W674" s="245">
        <v>11658</v>
      </c>
      <c r="X674" s="312"/>
      <c r="Y674" s="313"/>
      <c r="Z674" s="114">
        <f t="shared" si="87"/>
        <v>84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2754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4904.116</v>
      </c>
      <c r="U675" s="15">
        <f t="shared" si="85"/>
        <v>583.82333333333372</v>
      </c>
      <c r="V675" s="313">
        <f t="shared" si="86"/>
        <v>2102.7640000000001</v>
      </c>
      <c r="W675" s="245">
        <v>11658</v>
      </c>
      <c r="X675" s="312"/>
      <c r="Y675" s="313"/>
      <c r="Z675" s="114">
        <f t="shared" si="87"/>
        <v>84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2754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4904.116</v>
      </c>
      <c r="U676" s="15">
        <f t="shared" si="85"/>
        <v>583.82333333333372</v>
      </c>
      <c r="V676" s="313">
        <f t="shared" si="86"/>
        <v>2102.7640000000001</v>
      </c>
      <c r="W676" s="245">
        <v>11658</v>
      </c>
      <c r="X676" s="312"/>
      <c r="Y676" s="313"/>
      <c r="Z676" s="114">
        <f t="shared" si="87"/>
        <v>84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2754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4904.116</v>
      </c>
      <c r="U677" s="15">
        <f t="shared" si="85"/>
        <v>583.82333333333372</v>
      </c>
      <c r="V677" s="313">
        <f t="shared" si="86"/>
        <v>2102.7640000000001</v>
      </c>
      <c r="W677" s="245">
        <v>11658</v>
      </c>
      <c r="X677" s="312"/>
      <c r="Y677" s="313"/>
      <c r="Z677" s="114">
        <f t="shared" si="87"/>
        <v>84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2754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4904.116</v>
      </c>
      <c r="U678" s="15">
        <f t="shared" si="85"/>
        <v>583.82333333333372</v>
      </c>
      <c r="V678" s="313">
        <f t="shared" si="86"/>
        <v>2102.7640000000001</v>
      </c>
      <c r="W678" s="245">
        <v>11658</v>
      </c>
      <c r="X678" s="312"/>
      <c r="Y678" s="313"/>
      <c r="Z678" s="114">
        <f t="shared" si="87"/>
        <v>84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2754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4904.116</v>
      </c>
      <c r="U679" s="15">
        <f t="shared" si="85"/>
        <v>583.82333333333372</v>
      </c>
      <c r="V679" s="313">
        <f t="shared" si="86"/>
        <v>2102.7640000000001</v>
      </c>
      <c r="W679" s="245">
        <v>11658</v>
      </c>
      <c r="X679" s="312"/>
      <c r="Y679" s="313"/>
      <c r="Z679" s="114">
        <f t="shared" si="87"/>
        <v>84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2754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4904.116</v>
      </c>
      <c r="U680" s="15">
        <f t="shared" si="85"/>
        <v>583.82333333333372</v>
      </c>
      <c r="V680" s="313">
        <f t="shared" si="86"/>
        <v>2102.7640000000001</v>
      </c>
      <c r="W680" s="245">
        <v>11658</v>
      </c>
      <c r="X680" s="312"/>
      <c r="Y680" s="313"/>
      <c r="Z680" s="114">
        <f t="shared" si="87"/>
        <v>84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2754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4904.116</v>
      </c>
      <c r="U681" s="15">
        <f t="shared" si="85"/>
        <v>583.82333333333372</v>
      </c>
      <c r="V681" s="313">
        <f t="shared" si="86"/>
        <v>2102.7640000000001</v>
      </c>
      <c r="W681" s="245">
        <v>11658</v>
      </c>
      <c r="X681" s="312"/>
      <c r="Y681" s="313"/>
      <c r="Z681" s="114">
        <f t="shared" si="87"/>
        <v>84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2754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4904.116</v>
      </c>
      <c r="U682" s="15">
        <f>T682-S682</f>
        <v>583.82333333333372</v>
      </c>
      <c r="V682" s="313">
        <f t="shared" si="86"/>
        <v>2102.7640000000001</v>
      </c>
      <c r="W682" s="245">
        <v>11658</v>
      </c>
      <c r="X682" s="312"/>
      <c r="Y682" s="313"/>
      <c r="Z682" s="114">
        <f t="shared" si="87"/>
        <v>84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2754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4904.116</v>
      </c>
      <c r="U683" s="15">
        <f t="shared" si="85"/>
        <v>583.82333333333372</v>
      </c>
      <c r="V683" s="313">
        <f t="shared" si="86"/>
        <v>2102.7640000000001</v>
      </c>
      <c r="W683" s="245">
        <v>11658</v>
      </c>
      <c r="X683" s="312">
        <f>R683*46</f>
        <v>2685.5873333333329</v>
      </c>
      <c r="Y683" s="313"/>
      <c r="Z683" s="114">
        <f t="shared" si="87"/>
        <v>84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1442315.5738084682</v>
      </c>
      <c r="U684" s="26">
        <f>SUM(U415:U683)</f>
        <v>180102.46062148639</v>
      </c>
      <c r="V684" s="26">
        <f>SUM(V415:V683)</f>
        <v>563564.22983025026</v>
      </c>
      <c r="X684" s="312"/>
      <c r="Y684" s="313"/>
      <c r="Z684" s="114"/>
      <c r="AA684" s="357">
        <f>+Z683+AA683</f>
        <v>130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25413.131196989314</v>
      </c>
      <c r="S686" s="29">
        <v>3706246.4858958307</v>
      </c>
      <c r="T686" s="29">
        <f>+T684+T413</f>
        <v>3963545.686225133</v>
      </c>
      <c r="U686" s="29">
        <f>+U684+U413</f>
        <v>257256.99912148641</v>
      </c>
      <c r="V686" s="29">
        <f>+V684+V413</f>
        <v>647838.53741358349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7069.9500000000007</v>
      </c>
      <c r="U689" s="15">
        <f t="shared" ref="U689:U703" si="90">T689-S689</f>
        <v>960.11666666666679</v>
      </c>
      <c r="V689" s="179">
        <f t="shared" ref="V689:V760" si="91">N689-T689</f>
        <v>3405.0499999999993</v>
      </c>
      <c r="Y689" s="135"/>
      <c r="Z689" s="137">
        <f t="shared" ref="Z689:Z760" si="92">IF((DATEDIF(G689,Z$4,"m"))&gt;=120,120,(DATEDIF(G689,Z$4,"m")))</f>
        <v>81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8034.0388333333331</v>
      </c>
      <c r="U690" s="15">
        <f t="shared" si="90"/>
        <v>1077.7369166666658</v>
      </c>
      <c r="V690" s="179">
        <f t="shared" si="91"/>
        <v>3724.0911666666661</v>
      </c>
      <c r="Y690" s="135"/>
      <c r="Z690" s="137">
        <f t="shared" si="92"/>
        <v>82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2751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1491.1000000000001</v>
      </c>
      <c r="U691" s="15">
        <f t="shared" si="90"/>
        <v>210.28333333333353</v>
      </c>
      <c r="V691" s="135">
        <f t="shared" si="91"/>
        <v>803.89999999999986</v>
      </c>
      <c r="Y691" s="135"/>
      <c r="Z691" s="114">
        <f t="shared" si="92"/>
        <v>78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2751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1491.1000000000001</v>
      </c>
      <c r="U692" s="15">
        <f t="shared" si="90"/>
        <v>210.28333333333353</v>
      </c>
      <c r="V692" s="135">
        <f t="shared" si="91"/>
        <v>803.89999999999986</v>
      </c>
      <c r="Y692" s="135"/>
      <c r="Z692" s="114">
        <f t="shared" si="92"/>
        <v>78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3484.4100000000003</v>
      </c>
      <c r="U693" s="15">
        <f t="shared" si="90"/>
        <v>532.3404166666669</v>
      </c>
      <c r="V693" s="313">
        <f t="shared" si="91"/>
        <v>2323.94</v>
      </c>
      <c r="Y693" s="313"/>
      <c r="Z693" s="114">
        <f t="shared" si="92"/>
        <v>72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3484.4100000000003</v>
      </c>
      <c r="U694" s="15">
        <f t="shared" si="90"/>
        <v>532.3404166666669</v>
      </c>
      <c r="V694" s="313">
        <f t="shared" si="91"/>
        <v>2323.94</v>
      </c>
      <c r="Y694" s="313"/>
      <c r="Z694" s="114">
        <f t="shared" si="92"/>
        <v>72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3484.4100000000003</v>
      </c>
      <c r="U695" s="15">
        <f t="shared" si="90"/>
        <v>532.3404166666669</v>
      </c>
      <c r="V695" s="313">
        <f t="shared" si="91"/>
        <v>2323.94</v>
      </c>
      <c r="Y695" s="313"/>
      <c r="Z695" s="114">
        <f t="shared" si="92"/>
        <v>72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3484.4100000000003</v>
      </c>
      <c r="U696" s="15">
        <f t="shared" si="90"/>
        <v>532.3404166666669</v>
      </c>
      <c r="V696" s="313">
        <f t="shared" si="91"/>
        <v>2323.94</v>
      </c>
      <c r="Y696" s="313"/>
      <c r="Z696" s="114">
        <f t="shared" si="92"/>
        <v>72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3484.4100000000003</v>
      </c>
      <c r="U697" s="15">
        <f t="shared" si="90"/>
        <v>532.3404166666669</v>
      </c>
      <c r="V697" s="313">
        <f t="shared" si="91"/>
        <v>2323.94</v>
      </c>
      <c r="Y697" s="313"/>
      <c r="Z697" s="114">
        <f t="shared" si="92"/>
        <v>72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3484.4100000000003</v>
      </c>
      <c r="U698" s="15">
        <f t="shared" si="90"/>
        <v>532.3404166666669</v>
      </c>
      <c r="V698" s="313">
        <f t="shared" si="91"/>
        <v>2323.94</v>
      </c>
      <c r="Y698" s="313"/>
      <c r="Z698" s="114">
        <f t="shared" si="92"/>
        <v>72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3484.4100000000003</v>
      </c>
      <c r="U699" s="15">
        <f t="shared" si="90"/>
        <v>532.3404166666669</v>
      </c>
      <c r="V699" s="313">
        <f t="shared" si="91"/>
        <v>2323.94</v>
      </c>
      <c r="Y699" s="313"/>
      <c r="Z699" s="114">
        <f t="shared" si="92"/>
        <v>72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3484.4100000000003</v>
      </c>
      <c r="U700" s="15">
        <f t="shared" si="90"/>
        <v>532.3404166666669</v>
      </c>
      <c r="V700" s="313">
        <f t="shared" si="91"/>
        <v>2323.94</v>
      </c>
      <c r="Y700" s="313"/>
      <c r="Z700" s="114">
        <f t="shared" si="92"/>
        <v>72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3484.4100000000003</v>
      </c>
      <c r="U701" s="15">
        <f t="shared" si="90"/>
        <v>532.3404166666669</v>
      </c>
      <c r="V701" s="313">
        <f t="shared" si="91"/>
        <v>2323.94</v>
      </c>
      <c r="Y701" s="313"/>
      <c r="Z701" s="114">
        <f t="shared" si="92"/>
        <v>72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3484.4100000000003</v>
      </c>
      <c r="U702" s="15">
        <f t="shared" si="90"/>
        <v>532.3404166666669</v>
      </c>
      <c r="V702" s="313">
        <f t="shared" si="91"/>
        <v>2323.94</v>
      </c>
      <c r="Y702" s="313"/>
      <c r="Z702" s="114">
        <f t="shared" si="92"/>
        <v>72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3484.4219999999996</v>
      </c>
      <c r="U703" s="15">
        <f t="shared" si="90"/>
        <v>532.34224999999969</v>
      </c>
      <c r="V703" s="313">
        <f t="shared" si="91"/>
        <v>2323.9480000000003</v>
      </c>
      <c r="Y703" s="313"/>
      <c r="Z703" s="114">
        <f t="shared" si="92"/>
        <v>72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56414.710833333345</v>
      </c>
      <c r="U704" s="26">
        <f t="shared" si="94"/>
        <v>8314.1666666666679</v>
      </c>
      <c r="V704" s="26">
        <f t="shared" si="94"/>
        <v>34300.289166666655</v>
      </c>
      <c r="X704" s="312"/>
      <c r="Y704" s="313"/>
      <c r="Z704" s="114"/>
      <c r="AA704" s="357">
        <f>+Z703+AA703</f>
        <v>72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26168.964530322646</v>
      </c>
      <c r="S706" s="29">
        <v>3754347.0300624971</v>
      </c>
      <c r="T706" s="29">
        <f t="shared" si="95"/>
        <v>4019960.3970584664</v>
      </c>
      <c r="U706" s="29">
        <f t="shared" si="95"/>
        <v>265571.16578815307</v>
      </c>
      <c r="V706" s="29">
        <f t="shared" si="95"/>
        <v>682138.82658025017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12972.375000000002</v>
      </c>
      <c r="U708" s="15">
        <f>T708-S708</f>
        <v>2195.3250000000007</v>
      </c>
      <c r="V708" s="135">
        <f t="shared" si="91"/>
        <v>10977.624999999998</v>
      </c>
      <c r="Y708" s="135"/>
      <c r="Z708" s="114">
        <f t="shared" si="92"/>
        <v>65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12972.375000000002</v>
      </c>
      <c r="U709" s="15">
        <f t="shared" ref="U709:U736" si="97">T709-S709</f>
        <v>2195.3250000000007</v>
      </c>
      <c r="V709" s="135">
        <f t="shared" si="91"/>
        <v>10977.624999999998</v>
      </c>
      <c r="Y709" s="135"/>
      <c r="Z709" s="114">
        <f t="shared" si="92"/>
        <v>65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32496.75</v>
      </c>
      <c r="U710" s="15">
        <f t="shared" si="97"/>
        <v>5499.4500000000007</v>
      </c>
      <c r="V710" s="135">
        <f t="shared" si="91"/>
        <v>27498.25</v>
      </c>
      <c r="Y710" s="135"/>
      <c r="Z710" s="114">
        <f t="shared" si="92"/>
        <v>65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32496.75</v>
      </c>
      <c r="U711" s="15">
        <f t="shared" si="97"/>
        <v>5499.4500000000007</v>
      </c>
      <c r="V711" s="135">
        <f t="shared" si="91"/>
        <v>27498.25</v>
      </c>
      <c r="Y711" s="135"/>
      <c r="Z711" s="114">
        <f t="shared" si="92"/>
        <v>65</v>
      </c>
    </row>
    <row r="712" spans="1:27" s="245" customFormat="1" hidden="1" x14ac:dyDescent="0.25">
      <c r="B712" s="245" t="s">
        <v>2180</v>
      </c>
      <c r="D712" s="245" t="s">
        <v>2750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2469.4506666666671</v>
      </c>
      <c r="U712" s="15">
        <f t="shared" si="97"/>
        <v>424.43683333333342</v>
      </c>
      <c r="V712" s="313">
        <f t="shared" si="91"/>
        <v>2161.7693333333332</v>
      </c>
      <c r="Y712" s="313"/>
      <c r="Z712" s="114">
        <f t="shared" si="92"/>
        <v>64</v>
      </c>
    </row>
    <row r="713" spans="1:27" s="245" customFormat="1" hidden="1" x14ac:dyDescent="0.25">
      <c r="B713" s="245" t="s">
        <v>2182</v>
      </c>
      <c r="D713" s="245" t="s">
        <v>2749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1393.5093333333334</v>
      </c>
      <c r="U713" s="15">
        <f t="shared" si="97"/>
        <v>239.50941666666677</v>
      </c>
      <c r="V713" s="313">
        <f t="shared" si="91"/>
        <v>1220.3206666666665</v>
      </c>
      <c r="Y713" s="313"/>
      <c r="Z713" s="114">
        <f t="shared" si="92"/>
        <v>64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3831.7333333333336</v>
      </c>
      <c r="U714" s="15">
        <f t="shared" si="97"/>
        <v>658.57916666666688</v>
      </c>
      <c r="V714" s="313">
        <f t="shared" si="91"/>
        <v>3353.7666666666664</v>
      </c>
      <c r="Y714" s="313"/>
      <c r="Z714" s="114">
        <f t="shared" si="92"/>
        <v>64</v>
      </c>
    </row>
    <row r="715" spans="1:27" s="245" customFormat="1" hidden="1" x14ac:dyDescent="0.25">
      <c r="B715" s="97" t="s">
        <v>2184</v>
      </c>
      <c r="C715" s="97"/>
      <c r="D715" s="97" t="s">
        <v>2748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2039.3973333333333</v>
      </c>
      <c r="U715" s="15">
        <f t="shared" si="97"/>
        <v>350.52141666666671</v>
      </c>
      <c r="V715" s="313">
        <f t="shared" si="91"/>
        <v>1785.4726666666666</v>
      </c>
      <c r="Y715" s="313"/>
      <c r="Z715" s="114">
        <f t="shared" si="92"/>
        <v>64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2747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79040.938666666669</v>
      </c>
      <c r="U716" s="15">
        <f t="shared" si="97"/>
        <v>13585.161333333337</v>
      </c>
      <c r="V716" s="346">
        <f t="shared" si="91"/>
        <v>69161.821333333341</v>
      </c>
      <c r="Y716" s="346"/>
      <c r="Z716" s="95">
        <f t="shared" si="92"/>
        <v>64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12452.906666666668</v>
      </c>
      <c r="U717" s="15">
        <f t="shared" si="97"/>
        <v>2140.3433333333342</v>
      </c>
      <c r="V717" s="313">
        <f t="shared" si="91"/>
        <v>10897.293333333333</v>
      </c>
      <c r="Y717" s="313"/>
      <c r="Z717" s="114">
        <f t="shared" si="92"/>
        <v>64</v>
      </c>
    </row>
    <row r="718" spans="1:27" s="245" customFormat="1" hidden="1" x14ac:dyDescent="0.25">
      <c r="B718" s="245" t="s">
        <v>2190</v>
      </c>
      <c r="D718" s="245" t="s">
        <v>2745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3724.6603333333333</v>
      </c>
      <c r="U718" s="15">
        <f t="shared" si="97"/>
        <v>602.51858333333303</v>
      </c>
      <c r="V718" s="313">
        <f t="shared" si="91"/>
        <v>2849.269666666667</v>
      </c>
      <c r="Y718" s="313"/>
      <c r="Z718" s="114">
        <f t="shared" si="92"/>
        <v>68</v>
      </c>
    </row>
    <row r="719" spans="1:27" s="245" customFormat="1" hidden="1" x14ac:dyDescent="0.25">
      <c r="B719" s="245" t="s">
        <v>2190</v>
      </c>
      <c r="D719" s="245" t="s">
        <v>2745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3724.6603333333333</v>
      </c>
      <c r="U719" s="15">
        <f t="shared" si="97"/>
        <v>602.51858333333303</v>
      </c>
      <c r="V719" s="313">
        <f t="shared" si="91"/>
        <v>2849.269666666667</v>
      </c>
      <c r="Y719" s="313"/>
      <c r="Z719" s="114">
        <f t="shared" si="92"/>
        <v>68</v>
      </c>
    </row>
    <row r="720" spans="1:27" s="245" customFormat="1" hidden="1" x14ac:dyDescent="0.25">
      <c r="B720" s="245" t="s">
        <v>2192</v>
      </c>
      <c r="D720" s="245" t="s">
        <v>2746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3287.7433333333329</v>
      </c>
      <c r="U720" s="15">
        <f t="shared" si="97"/>
        <v>531.84083333333319</v>
      </c>
      <c r="V720" s="313">
        <f t="shared" si="91"/>
        <v>2515.1566666666668</v>
      </c>
      <c r="Y720" s="313"/>
      <c r="Z720" s="114">
        <f t="shared" si="92"/>
        <v>68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2224.0419999999999</v>
      </c>
      <c r="U721" s="15">
        <f t="shared" si="97"/>
        <v>359.77150000000006</v>
      </c>
      <c r="V721" s="313">
        <f t="shared" si="91"/>
        <v>1701.7380000000003</v>
      </c>
      <c r="Y721" s="313"/>
      <c r="Z721" s="114">
        <f t="shared" si="92"/>
        <v>68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2224.0419999999999</v>
      </c>
      <c r="U722" s="15">
        <f t="shared" si="97"/>
        <v>359.77150000000006</v>
      </c>
      <c r="V722" s="135">
        <f t="shared" si="91"/>
        <v>1701.7380000000003</v>
      </c>
      <c r="Y722" s="135"/>
      <c r="Z722" s="114">
        <f t="shared" si="92"/>
        <v>68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2224.0419999999999</v>
      </c>
      <c r="U723" s="15">
        <f t="shared" si="97"/>
        <v>359.77150000000006</v>
      </c>
      <c r="V723" s="135">
        <f t="shared" si="91"/>
        <v>1701.7380000000003</v>
      </c>
      <c r="Y723" s="135"/>
      <c r="Z723" s="114">
        <f t="shared" si="92"/>
        <v>68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1070.5636666666667</v>
      </c>
      <c r="U724" s="15">
        <f t="shared" si="97"/>
        <v>173.17941666666661</v>
      </c>
      <c r="V724" s="135">
        <f t="shared" si="91"/>
        <v>819.66633333333334</v>
      </c>
      <c r="Y724" s="135"/>
      <c r="Z724" s="114">
        <f t="shared" si="92"/>
        <v>68</v>
      </c>
    </row>
    <row r="725" spans="2:26" s="51" customFormat="1" hidden="1" x14ac:dyDescent="0.25">
      <c r="B725" s="362" t="s">
        <v>2857</v>
      </c>
      <c r="C725" s="40" t="s">
        <v>2743</v>
      </c>
      <c r="D725" s="40" t="s">
        <v>2744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17455.316666666666</v>
      </c>
      <c r="U725" s="15">
        <f>T725-S725</f>
        <v>2742.9783333333326</v>
      </c>
      <c r="V725" s="135">
        <f>N725-T725</f>
        <v>12469.083333333336</v>
      </c>
      <c r="Z725" s="114">
        <f t="shared" si="92"/>
        <v>70</v>
      </c>
    </row>
    <row r="726" spans="2:26" s="51" customFormat="1" hidden="1" x14ac:dyDescent="0.25">
      <c r="B726" s="362" t="s">
        <v>2858</v>
      </c>
      <c r="C726" s="40" t="s">
        <v>2743</v>
      </c>
      <c r="D726" s="40" t="s">
        <v>2744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43166.369166666664</v>
      </c>
      <c r="U726" s="15">
        <f>T726-S726</f>
        <v>6783.2865833333271</v>
      </c>
      <c r="V726" s="135">
        <f>N726-T726</f>
        <v>30834.120833333342</v>
      </c>
      <c r="Z726" s="114">
        <f t="shared" si="92"/>
        <v>70</v>
      </c>
    </row>
    <row r="727" spans="2:26" s="245" customFormat="1" hidden="1" x14ac:dyDescent="0.25">
      <c r="B727" s="245" t="s">
        <v>2859</v>
      </c>
      <c r="C727" s="40" t="s">
        <v>2743</v>
      </c>
      <c r="D727" s="40" t="s">
        <v>2744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12494.469166666668</v>
      </c>
      <c r="U727" s="15">
        <f t="shared" si="97"/>
        <v>1963.4165833333336</v>
      </c>
      <c r="V727" s="313">
        <f t="shared" si="91"/>
        <v>8925.6208333333325</v>
      </c>
      <c r="Y727" s="313"/>
      <c r="Z727" s="114">
        <f t="shared" si="92"/>
        <v>70</v>
      </c>
    </row>
    <row r="728" spans="2:26" s="245" customFormat="1" hidden="1" x14ac:dyDescent="0.25">
      <c r="B728" s="245" t="s">
        <v>2860</v>
      </c>
      <c r="C728" s="40" t="s">
        <v>2743</v>
      </c>
      <c r="D728" s="40" t="s">
        <v>2744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12494.469166666668</v>
      </c>
      <c r="U728" s="15">
        <f t="shared" si="97"/>
        <v>1963.4165833333336</v>
      </c>
      <c r="V728" s="313">
        <f t="shared" si="91"/>
        <v>8925.6208333333325</v>
      </c>
      <c r="Y728" s="313"/>
      <c r="Z728" s="114">
        <f t="shared" si="92"/>
        <v>70</v>
      </c>
    </row>
    <row r="729" spans="2:26" s="245" customFormat="1" hidden="1" x14ac:dyDescent="0.25">
      <c r="B729" s="245" t="s">
        <v>2861</v>
      </c>
      <c r="C729" s="40" t="s">
        <v>2743</v>
      </c>
      <c r="D729" s="40" t="s">
        <v>2744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12494.469166666668</v>
      </c>
      <c r="U729" s="15">
        <f t="shared" si="97"/>
        <v>1963.4165833333336</v>
      </c>
      <c r="V729" s="313">
        <f t="shared" si="91"/>
        <v>8925.6208333333325</v>
      </c>
      <c r="Y729" s="313"/>
      <c r="Z729" s="114">
        <f t="shared" si="92"/>
        <v>70</v>
      </c>
    </row>
    <row r="730" spans="2:26" s="245" customFormat="1" hidden="1" x14ac:dyDescent="0.25">
      <c r="B730" s="245" t="s">
        <v>2862</v>
      </c>
      <c r="C730" s="40" t="s">
        <v>2743</v>
      </c>
      <c r="D730" s="40" t="s">
        <v>2744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12494.469166666668</v>
      </c>
      <c r="U730" s="15">
        <f t="shared" si="97"/>
        <v>1963.4165833333336</v>
      </c>
      <c r="V730" s="313">
        <f t="shared" si="91"/>
        <v>8925.6208333333325</v>
      </c>
      <c r="Y730" s="313"/>
      <c r="Z730" s="114">
        <f t="shared" si="92"/>
        <v>70</v>
      </c>
    </row>
    <row r="731" spans="2:26" s="245" customFormat="1" hidden="1" x14ac:dyDescent="0.25">
      <c r="B731" s="245" t="s">
        <v>2863</v>
      </c>
      <c r="C731" s="40" t="s">
        <v>2743</v>
      </c>
      <c r="D731" s="40" t="s">
        <v>2744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12494.469166666668</v>
      </c>
      <c r="U731" s="15">
        <f t="shared" si="97"/>
        <v>1963.4165833333336</v>
      </c>
      <c r="V731" s="313">
        <f t="shared" si="91"/>
        <v>8925.6208333333325</v>
      </c>
      <c r="Y731" s="313"/>
      <c r="Z731" s="114">
        <f t="shared" si="92"/>
        <v>70</v>
      </c>
    </row>
    <row r="732" spans="2:26" s="245" customFormat="1" hidden="1" x14ac:dyDescent="0.25">
      <c r="B732" s="245" t="s">
        <v>2864</v>
      </c>
      <c r="C732" s="40" t="s">
        <v>2743</v>
      </c>
      <c r="D732" s="40" t="s">
        <v>2744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12494.469166666668</v>
      </c>
      <c r="U732" s="15">
        <f t="shared" si="97"/>
        <v>1963.4165833333336</v>
      </c>
      <c r="V732" s="313">
        <f t="shared" si="91"/>
        <v>8925.6208333333325</v>
      </c>
      <c r="Y732" s="313"/>
      <c r="Z732" s="114">
        <f t="shared" si="92"/>
        <v>70</v>
      </c>
    </row>
    <row r="733" spans="2:26" s="245" customFormat="1" hidden="1" x14ac:dyDescent="0.25">
      <c r="B733" s="245" t="s">
        <v>2865</v>
      </c>
      <c r="C733" s="40" t="s">
        <v>2743</v>
      </c>
      <c r="D733" s="40" t="s">
        <v>2744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12494.469166666668</v>
      </c>
      <c r="U733" s="15">
        <f t="shared" si="97"/>
        <v>1963.4165833333336</v>
      </c>
      <c r="V733" s="313">
        <f t="shared" si="91"/>
        <v>8925.6208333333325</v>
      </c>
      <c r="Y733" s="313"/>
      <c r="Z733" s="114">
        <f t="shared" si="92"/>
        <v>70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1979.9333333333332</v>
      </c>
      <c r="U734" s="15">
        <f t="shared" si="97"/>
        <v>320.2833333333333</v>
      </c>
      <c r="V734" s="313">
        <f t="shared" si="91"/>
        <v>1515.0666666666668</v>
      </c>
      <c r="Y734" s="313"/>
      <c r="Z734" s="114">
        <f t="shared" si="92"/>
        <v>68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1206.7</v>
      </c>
      <c r="U735" s="15">
        <f t="shared" si="97"/>
        <v>201.11666666666667</v>
      </c>
      <c r="V735" s="135">
        <f t="shared" si="91"/>
        <v>988.3</v>
      </c>
      <c r="Y735" s="135"/>
      <c r="Z735" s="114">
        <f t="shared" si="92"/>
        <v>66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8301.4229166666664</v>
      </c>
      <c r="U736" s="15">
        <f t="shared" si="97"/>
        <v>1547.7229166666675</v>
      </c>
      <c r="V736" s="135">
        <f t="shared" si="91"/>
        <v>8583.8270833333336</v>
      </c>
      <c r="Y736" s="135"/>
      <c r="Z736" s="114">
        <f t="shared" si="92"/>
        <v>59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370216.96591666673</v>
      </c>
      <c r="U737" s="26">
        <f t="shared" si="98"/>
        <v>61116.777333333324</v>
      </c>
      <c r="V737" s="26">
        <f t="shared" si="98"/>
        <v>296540.51408333337</v>
      </c>
      <c r="X737" s="312"/>
      <c r="Y737" s="313"/>
      <c r="Z737" s="114"/>
      <c r="AA737" s="357">
        <f>+Z736+AA736</f>
        <v>59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31725.035196989316</v>
      </c>
      <c r="S739" s="29">
        <v>4063447.2186458306</v>
      </c>
      <c r="T739" s="29">
        <f t="shared" si="99"/>
        <v>4390177.3629751336</v>
      </c>
      <c r="U739" s="29">
        <f t="shared" si="99"/>
        <v>326687.9431214864</v>
      </c>
      <c r="V739" s="29">
        <f t="shared" si="99"/>
        <v>978679.34066358348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5838.2413333333334</v>
      </c>
      <c r="U741" s="15">
        <f>T741-S741</f>
        <v>1107.2526666666663</v>
      </c>
      <c r="V741" s="135">
        <f t="shared" si="91"/>
        <v>6241.8786666666674</v>
      </c>
      <c r="W741" s="238">
        <v>15039</v>
      </c>
      <c r="Y741" s="135"/>
      <c r="Z741" s="114">
        <f t="shared" si="92"/>
        <v>58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49319.120666666662</v>
      </c>
      <c r="U742" s="15">
        <f>T742-S742</f>
        <v>9353.6263333333336</v>
      </c>
      <c r="V742" s="135">
        <f t="shared" si="91"/>
        <v>52721.439333333336</v>
      </c>
      <c r="W742" s="238">
        <v>15039</v>
      </c>
      <c r="Y742" s="135"/>
      <c r="Z742" s="114">
        <f t="shared" si="92"/>
        <v>58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18971.635666666669</v>
      </c>
      <c r="U743" s="15">
        <f>T743-S743</f>
        <v>3598.0688333333346</v>
      </c>
      <c r="V743" s="313">
        <f t="shared" si="91"/>
        <v>20281.024333333335</v>
      </c>
      <c r="W743" s="365">
        <v>15038</v>
      </c>
      <c r="Y743" s="313"/>
      <c r="Z743" s="114">
        <f t="shared" si="92"/>
        <v>58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11696.478166666668</v>
      </c>
      <c r="U744" s="15">
        <f t="shared" ref="U744:U766" si="101">T744-S744</f>
        <v>2218.297583333333</v>
      </c>
      <c r="V744" s="313">
        <f t="shared" si="91"/>
        <v>12504.131833333333</v>
      </c>
      <c r="W744" s="365">
        <v>15167</v>
      </c>
      <c r="Y744" s="313"/>
      <c r="Z744" s="114">
        <f t="shared" si="92"/>
        <v>58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10950.182499999999</v>
      </c>
      <c r="U745" s="15">
        <f t="shared" si="101"/>
        <v>2076.7587499999991</v>
      </c>
      <c r="V745" s="313">
        <f t="shared" si="91"/>
        <v>11706.3675</v>
      </c>
      <c r="W745" s="365">
        <v>15167</v>
      </c>
      <c r="Y745" s="313"/>
      <c r="Z745" s="114">
        <f t="shared" si="92"/>
        <v>58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11384.307666666668</v>
      </c>
      <c r="U746" s="15">
        <f t="shared" si="101"/>
        <v>2159.0928333333341</v>
      </c>
      <c r="V746" s="313">
        <f t="shared" si="91"/>
        <v>12170.432333333334</v>
      </c>
      <c r="W746" s="365">
        <v>15167</v>
      </c>
      <c r="Y746" s="313"/>
      <c r="Z746" s="114">
        <f t="shared" si="92"/>
        <v>58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8058.6940000000004</v>
      </c>
      <c r="U747" s="15">
        <f t="shared" si="101"/>
        <v>1528.3729999999996</v>
      </c>
      <c r="V747" s="313">
        <f t="shared" si="91"/>
        <v>8615.4660000000003</v>
      </c>
      <c r="W747" s="365">
        <v>15167</v>
      </c>
      <c r="Y747" s="313"/>
      <c r="Z747" s="114">
        <f t="shared" si="92"/>
        <v>58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10540.872250000002</v>
      </c>
      <c r="U748" s="15">
        <f t="shared" si="101"/>
        <v>2034.2034166666672</v>
      </c>
      <c r="V748" s="313">
        <f t="shared" si="91"/>
        <v>11651.437749999999</v>
      </c>
      <c r="W748" s="365">
        <v>15167</v>
      </c>
      <c r="Y748" s="313"/>
      <c r="Z748" s="114">
        <f t="shared" si="92"/>
        <v>57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3101.0470000000005</v>
      </c>
      <c r="U749" s="15">
        <f t="shared" si="101"/>
        <v>598.44766666666692</v>
      </c>
      <c r="V749" s="313">
        <f t="shared" si="91"/>
        <v>3428.473</v>
      </c>
      <c r="W749" s="365">
        <v>15167</v>
      </c>
      <c r="Y749" s="313"/>
      <c r="Z749" s="114">
        <f t="shared" si="92"/>
        <v>57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4263.5192499999994</v>
      </c>
      <c r="U750" s="15">
        <f t="shared" si="101"/>
        <v>822.7844166666664</v>
      </c>
      <c r="V750" s="313">
        <f t="shared" si="91"/>
        <v>4713.3107500000006</v>
      </c>
      <c r="W750" s="365">
        <v>15167</v>
      </c>
      <c r="Y750" s="313"/>
      <c r="Z750" s="114">
        <f t="shared" si="92"/>
        <v>57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8472.3945000000003</v>
      </c>
      <c r="U751" s="15">
        <f t="shared" si="101"/>
        <v>1635.0235000000002</v>
      </c>
      <c r="V751" s="313">
        <f t="shared" si="91"/>
        <v>9365.2254999999986</v>
      </c>
      <c r="W751" s="365">
        <v>15167</v>
      </c>
      <c r="Y751" s="313"/>
      <c r="Z751" s="114">
        <f t="shared" si="92"/>
        <v>57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2423.8666666666668</v>
      </c>
      <c r="U752" s="15">
        <f t="shared" si="101"/>
        <v>476.11666666666679</v>
      </c>
      <c r="V752" s="313">
        <f t="shared" si="91"/>
        <v>2771.1333333333332</v>
      </c>
      <c r="W752" s="365">
        <v>15291</v>
      </c>
      <c r="Y752" s="313"/>
      <c r="Z752" s="114">
        <f t="shared" si="92"/>
        <v>56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64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3730.5239999999994</v>
      </c>
      <c r="U753" s="15">
        <f t="shared" si="101"/>
        <v>732.78150000000005</v>
      </c>
      <c r="V753" s="313">
        <f t="shared" si="91"/>
        <v>4264.4560000000001</v>
      </c>
      <c r="W753" s="565">
        <v>15308</v>
      </c>
      <c r="Y753" s="313"/>
      <c r="Z753" s="114">
        <f t="shared" si="92"/>
        <v>56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64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4122.25</v>
      </c>
      <c r="U754" s="15">
        <f t="shared" si="101"/>
        <v>824.44999999999982</v>
      </c>
      <c r="V754" s="313">
        <f t="shared" si="91"/>
        <v>4872.75</v>
      </c>
      <c r="W754" s="565">
        <v>15408</v>
      </c>
      <c r="Y754" s="313"/>
      <c r="Z754" s="114">
        <f t="shared" si="92"/>
        <v>55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65" t="s">
        <v>2232</v>
      </c>
      <c r="M755" s="245" t="s">
        <v>797</v>
      </c>
      <c r="N755" s="564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25240.725000000002</v>
      </c>
      <c r="U755" s="15">
        <f t="shared" si="101"/>
        <v>5141.6291666666693</v>
      </c>
      <c r="V755" s="313">
        <f t="shared" si="91"/>
        <v>30850.774999999998</v>
      </c>
      <c r="W755" s="565">
        <v>15607</v>
      </c>
      <c r="Y755" s="313"/>
      <c r="Z755" s="114">
        <f t="shared" si="92"/>
        <v>54</v>
      </c>
    </row>
    <row r="756" spans="1:26" s="245" customFormat="1" hidden="1" x14ac:dyDescent="0.25">
      <c r="A756" s="97"/>
      <c r="B756" s="195" t="s">
        <v>2856</v>
      </c>
      <c r="C756" s="97" t="s">
        <v>2854</v>
      </c>
      <c r="D756" s="97" t="s">
        <v>2855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65" t="s">
        <v>2234</v>
      </c>
      <c r="M756" s="245" t="s">
        <v>797</v>
      </c>
      <c r="N756" s="564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19039.574666666671</v>
      </c>
      <c r="U756" s="15">
        <f t="shared" si="101"/>
        <v>4027.602333333336</v>
      </c>
      <c r="V756" s="313">
        <f t="shared" si="91"/>
        <v>24898.905333333332</v>
      </c>
      <c r="W756" s="565"/>
      <c r="Y756" s="313"/>
      <c r="Z756" s="114">
        <f t="shared" si="92"/>
        <v>52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64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1697.4499999999998</v>
      </c>
      <c r="U757" s="15">
        <f t="shared" si="101"/>
        <v>366.11666666666656</v>
      </c>
      <c r="V757" s="313">
        <f t="shared" si="91"/>
        <v>2297.5500000000002</v>
      </c>
      <c r="W757" s="365">
        <v>16105</v>
      </c>
      <c r="Y757" s="313"/>
      <c r="Z757" s="114">
        <f t="shared" si="92"/>
        <v>51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64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1612.4499999999998</v>
      </c>
      <c r="U758" s="15">
        <f t="shared" si="101"/>
        <v>347.7833333333333</v>
      </c>
      <c r="V758" s="313">
        <f t="shared" si="91"/>
        <v>2182.5500000000002</v>
      </c>
      <c r="W758" s="365">
        <v>16105</v>
      </c>
      <c r="Y758" s="313"/>
      <c r="Z758" s="114">
        <f t="shared" si="92"/>
        <v>51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64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664.16666666666663</v>
      </c>
      <c r="U759" s="15">
        <f t="shared" si="101"/>
        <v>146.11666666666667</v>
      </c>
      <c r="V759" s="313">
        <f t="shared" si="91"/>
        <v>930.83333333333337</v>
      </c>
      <c r="W759" s="365">
        <v>16236</v>
      </c>
      <c r="Y759" s="313"/>
      <c r="Z759" s="114">
        <f t="shared" si="92"/>
        <v>50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64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664.16666666666663</v>
      </c>
      <c r="U760" s="15">
        <f t="shared" si="101"/>
        <v>146.11666666666667</v>
      </c>
      <c r="V760" s="313">
        <f t="shared" si="91"/>
        <v>930.83333333333337</v>
      </c>
      <c r="W760" s="365">
        <v>16236</v>
      </c>
      <c r="Y760" s="313"/>
      <c r="Z760" s="114">
        <f t="shared" si="92"/>
        <v>50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64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7732.916666666667</v>
      </c>
      <c r="U761" s="15">
        <f t="shared" si="101"/>
        <v>1701.2416666666668</v>
      </c>
      <c r="V761" s="313">
        <f t="shared" ref="V761:V768" si="104">N761-T761</f>
        <v>10827.083333333332</v>
      </c>
      <c r="W761" s="365">
        <v>16048</v>
      </c>
      <c r="Y761" s="313"/>
      <c r="Z761" s="114">
        <f t="shared" ref="Z761:Z767" si="105">IF((DATEDIF(G761,Z$4,"m"))&gt;=120,120,(DATEDIF(G761,Z$4,"m")))</f>
        <v>50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64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4059.583333333333</v>
      </c>
      <c r="U762" s="15">
        <f t="shared" si="101"/>
        <v>893.10833333333312</v>
      </c>
      <c r="V762" s="313">
        <f t="shared" si="104"/>
        <v>5684.416666666667</v>
      </c>
      <c r="W762" s="365">
        <v>16048</v>
      </c>
      <c r="Y762" s="313"/>
      <c r="Z762" s="114">
        <f t="shared" si="105"/>
        <v>50</v>
      </c>
    </row>
    <row r="763" spans="1:26" s="245" customFormat="1" hidden="1" x14ac:dyDescent="0.25">
      <c r="A763" s="97"/>
      <c r="B763" s="195" t="s">
        <v>2853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64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39124.458333333336</v>
      </c>
      <c r="U763" s="15">
        <f t="shared" si="101"/>
        <v>8783.0416666666679</v>
      </c>
      <c r="V763" s="313">
        <f t="shared" si="104"/>
        <v>56691.541666666664</v>
      </c>
      <c r="W763" s="365"/>
      <c r="Y763" s="313"/>
      <c r="Z763" s="114">
        <f t="shared" si="105"/>
        <v>49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2196.0329999999999</v>
      </c>
      <c r="U764" s="15">
        <f t="shared" si="101"/>
        <v>492.98699999999985</v>
      </c>
      <c r="V764" s="244">
        <f t="shared" si="104"/>
        <v>3183.0070000000001</v>
      </c>
      <c r="W764" s="238">
        <v>16181</v>
      </c>
      <c r="Y764" s="244"/>
      <c r="Z764" s="309">
        <f t="shared" si="105"/>
        <v>49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806.46241666666674</v>
      </c>
      <c r="U765" s="15">
        <f t="shared" si="101"/>
        <v>181.04258333333337</v>
      </c>
      <c r="V765" s="244">
        <f t="shared" si="104"/>
        <v>1169.5475833333333</v>
      </c>
      <c r="W765" s="238">
        <v>16181</v>
      </c>
      <c r="Y765" s="244"/>
      <c r="Z765" s="309">
        <f t="shared" si="105"/>
        <v>49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1975.5615833333331</v>
      </c>
      <c r="U766" s="15">
        <f t="shared" si="101"/>
        <v>443.49341666666646</v>
      </c>
      <c r="V766" s="244">
        <f t="shared" si="104"/>
        <v>2863.5484166666665</v>
      </c>
      <c r="W766" s="238">
        <v>16181</v>
      </c>
      <c r="Y766" s="244"/>
      <c r="Z766" s="309">
        <f t="shared" si="105"/>
        <v>49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9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4080.8833333333332</v>
      </c>
      <c r="U767" s="15">
        <f>T767-S767</f>
        <v>916.11666666666679</v>
      </c>
      <c r="V767" s="313">
        <f t="shared" si="104"/>
        <v>5914.1166666666668</v>
      </c>
      <c r="W767" s="365">
        <v>16312</v>
      </c>
      <c r="Y767" s="313"/>
      <c r="Z767" s="114">
        <f t="shared" si="105"/>
        <v>49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1469155.2053333335</v>
      </c>
      <c r="U769" s="259">
        <f t="shared" si="106"/>
        <v>75299.733333333395</v>
      </c>
      <c r="V769" s="259">
        <f t="shared" si="106"/>
        <v>730206.59466666658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59068.701863655981</v>
      </c>
      <c r="S771" s="29">
        <v>5457302.6906458307</v>
      </c>
      <c r="T771" s="29">
        <f t="shared" si="107"/>
        <v>5859332.568308467</v>
      </c>
      <c r="U771" s="29">
        <f t="shared" si="107"/>
        <v>401987.6764548198</v>
      </c>
      <c r="V771" s="29">
        <f t="shared" si="107"/>
        <v>1708885.9353302501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2101.1496666666667</v>
      </c>
      <c r="U773" s="15">
        <f>T773-S773</f>
        <v>502.44883333333337</v>
      </c>
      <c r="V773" s="135">
        <f>N773-T773</f>
        <v>3380.1103333333335</v>
      </c>
      <c r="W773" s="103">
        <v>16617</v>
      </c>
      <c r="X773" s="136"/>
      <c r="Y773" s="230"/>
      <c r="Z773" s="114">
        <f>IF((DATEDIF(G773,Z$4,"m"))&gt;=120,120,(DATEDIF(G773,Z$4,"m")))</f>
        <v>46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2101.1496666666667</v>
      </c>
      <c r="U774" s="15">
        <f>T774-S774</f>
        <v>502.44883333333337</v>
      </c>
      <c r="V774" s="135">
        <f>N774-T774</f>
        <v>3380.1103333333335</v>
      </c>
      <c r="W774" s="103">
        <v>16617</v>
      </c>
      <c r="X774" s="136"/>
      <c r="Y774" s="230"/>
      <c r="Z774" s="114">
        <f>IF((DATEDIF(G774,Z$4,"m"))&gt;=120,120,(DATEDIF(G774,Z$4,"m")))</f>
        <v>46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4202.2993333333334</v>
      </c>
      <c r="U775" s="113">
        <f>SUM(U773:U774)</f>
        <v>1004.8976666666667</v>
      </c>
      <c r="V775" s="113">
        <f>SUM(V773:V774)</f>
        <v>6760.2206666666671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2353.1151666666669</v>
      </c>
      <c r="U777" s="15">
        <f>T777-S777</f>
        <v>647.10667083333351</v>
      </c>
      <c r="V777" s="135">
        <f t="shared" ref="V777:V789" si="109">N777-T777</f>
        <v>4706.230333333333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40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2353.1151666666669</v>
      </c>
      <c r="U778" s="15">
        <f t="shared" ref="U778:U789" si="112">T778-S778</f>
        <v>647.10667083333351</v>
      </c>
      <c r="V778" s="135">
        <f t="shared" si="109"/>
        <v>4706.230333333333</v>
      </c>
      <c r="W778" s="103">
        <v>17327</v>
      </c>
      <c r="X778" s="136"/>
      <c r="Y778" s="230"/>
      <c r="Z778" s="114">
        <f t="shared" si="110"/>
        <v>40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2353.1151666666669</v>
      </c>
      <c r="U779" s="15">
        <f t="shared" si="112"/>
        <v>647.10667083333351</v>
      </c>
      <c r="V779" s="135">
        <f t="shared" si="109"/>
        <v>4706.230333333333</v>
      </c>
      <c r="W779" s="103">
        <v>17327</v>
      </c>
      <c r="X779" s="136"/>
      <c r="Y779" s="230"/>
      <c r="Z779" s="114">
        <f t="shared" si="110"/>
        <v>40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2353.1151666666669</v>
      </c>
      <c r="U780" s="15">
        <f t="shared" si="112"/>
        <v>647.10667083333351</v>
      </c>
      <c r="V780" s="135">
        <f t="shared" si="109"/>
        <v>4706.230333333333</v>
      </c>
      <c r="W780" s="103">
        <v>17327</v>
      </c>
      <c r="X780" s="136"/>
      <c r="Y780" s="230"/>
      <c r="Z780" s="114">
        <f t="shared" si="110"/>
        <v>40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2353.1151666666669</v>
      </c>
      <c r="U781" s="15">
        <f t="shared" si="112"/>
        <v>647.10667083333351</v>
      </c>
      <c r="V781" s="135">
        <f t="shared" si="109"/>
        <v>4706.230333333333</v>
      </c>
      <c r="W781" s="103">
        <v>17327</v>
      </c>
      <c r="X781" s="136"/>
      <c r="Y781" s="230"/>
      <c r="Z781" s="114">
        <f t="shared" si="110"/>
        <v>40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2623.9233333333332</v>
      </c>
      <c r="U782" s="15">
        <f t="shared" si="112"/>
        <v>721.57891666666637</v>
      </c>
      <c r="V782" s="135">
        <f t="shared" si="109"/>
        <v>5247.8466666666673</v>
      </c>
      <c r="W782" s="103">
        <v>17327</v>
      </c>
      <c r="X782" s="136"/>
      <c r="Y782" s="230"/>
      <c r="Z782" s="114">
        <f t="shared" si="110"/>
        <v>40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1008.1933333333332</v>
      </c>
      <c r="U783" s="15">
        <f t="shared" si="112"/>
        <v>277.25316666666663</v>
      </c>
      <c r="V783" s="135">
        <f t="shared" si="109"/>
        <v>2016.3866666666668</v>
      </c>
      <c r="W783" s="103">
        <v>17327</v>
      </c>
      <c r="X783" s="136"/>
      <c r="Y783" s="230"/>
      <c r="Z783" s="114">
        <f t="shared" si="110"/>
        <v>40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218.65849999999998</v>
      </c>
      <c r="U784" s="15">
        <f t="shared" si="112"/>
        <v>60.131087499999978</v>
      </c>
      <c r="V784" s="135">
        <f t="shared" si="109"/>
        <v>437.31700000000001</v>
      </c>
      <c r="W784" s="103">
        <v>17327</v>
      </c>
      <c r="X784" s="136"/>
      <c r="Y784" s="230"/>
      <c r="Z784" s="114">
        <f t="shared" si="110"/>
        <v>40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218.65849999999998</v>
      </c>
      <c r="U785" s="15">
        <f t="shared" si="112"/>
        <v>60.131087499999978</v>
      </c>
      <c r="V785" s="135">
        <f t="shared" si="109"/>
        <v>437.31700000000001</v>
      </c>
      <c r="W785" s="103">
        <v>17327</v>
      </c>
      <c r="X785" s="136"/>
      <c r="Y785" s="230"/>
      <c r="Z785" s="114">
        <f t="shared" si="110"/>
        <v>40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218.65849999999998</v>
      </c>
      <c r="U786" s="15">
        <f t="shared" si="112"/>
        <v>60.131087499999978</v>
      </c>
      <c r="V786" s="135">
        <f t="shared" si="109"/>
        <v>437.31700000000001</v>
      </c>
      <c r="W786" s="103">
        <v>17327</v>
      </c>
      <c r="X786" s="136"/>
      <c r="Y786" s="230"/>
      <c r="Z786" s="114">
        <f t="shared" si="110"/>
        <v>40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218.65849999999998</v>
      </c>
      <c r="U787" s="15">
        <f t="shared" si="112"/>
        <v>60.131087499999978</v>
      </c>
      <c r="V787" s="135">
        <f t="shared" si="109"/>
        <v>437.31700000000001</v>
      </c>
      <c r="W787" s="103">
        <v>17327</v>
      </c>
      <c r="X787" s="136"/>
      <c r="Y787" s="230"/>
      <c r="Z787" s="114">
        <f t="shared" si="110"/>
        <v>40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218.65849999999998</v>
      </c>
      <c r="U788" s="15">
        <f t="shared" si="112"/>
        <v>60.131087499999978</v>
      </c>
      <c r="V788" s="135">
        <f t="shared" si="109"/>
        <v>437.31700000000001</v>
      </c>
      <c r="W788" s="103">
        <v>17327</v>
      </c>
      <c r="X788" s="136"/>
      <c r="Y788" s="230"/>
      <c r="Z788" s="114">
        <f t="shared" si="110"/>
        <v>40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3279.2434999999996</v>
      </c>
      <c r="U789" s="15">
        <f t="shared" si="112"/>
        <v>840.83166666666648</v>
      </c>
      <c r="V789" s="135">
        <f t="shared" si="109"/>
        <v>6810.7365</v>
      </c>
      <c r="W789" s="103">
        <v>17327</v>
      </c>
      <c r="X789" s="136"/>
      <c r="Y789" s="230"/>
      <c r="Z789" s="114">
        <f t="shared" si="110"/>
        <v>39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19770.228500000001</v>
      </c>
      <c r="U790" s="113">
        <f>SUM(U777:U789)</f>
        <v>5375.8525416666671</v>
      </c>
      <c r="V790" s="113">
        <f>SUM(V777:V789)</f>
        <v>39792.706499999993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4021.8749063999994</v>
      </c>
      <c r="U792" s="15">
        <f>T792-S792</f>
        <v>1134.3749736</v>
      </c>
      <c r="V792" s="135">
        <f t="shared" ref="V792:V855" si="114">N792-T792</f>
        <v>8353.1248056000004</v>
      </c>
      <c r="W792" s="103">
        <v>17317</v>
      </c>
      <c r="Z792" s="114">
        <f t="shared" ref="Z792:Z855" si="115">IF((DATEDIF(G792,Z$4,"m"))&gt;=120,120,(DATEDIF(G792,Z$4,"m")))</f>
        <v>39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4021.8891569999996</v>
      </c>
      <c r="U793" s="15">
        <f t="shared" ref="U793:U856" si="117">T793-S793</f>
        <v>1134.3789929999998</v>
      </c>
      <c r="V793" s="135">
        <f t="shared" si="114"/>
        <v>8353.1544029999986</v>
      </c>
      <c r="W793" s="103">
        <v>17317</v>
      </c>
      <c r="Z793" s="114">
        <f t="shared" si="115"/>
        <v>39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4021.8891569999996</v>
      </c>
      <c r="U794" s="15">
        <f t="shared" si="117"/>
        <v>1134.3789929999998</v>
      </c>
      <c r="V794" s="135">
        <f t="shared" si="114"/>
        <v>8353.1544029999986</v>
      </c>
      <c r="W794" s="103">
        <v>17317</v>
      </c>
      <c r="Z794" s="114">
        <f t="shared" si="115"/>
        <v>39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4021.8891569999996</v>
      </c>
      <c r="U795" s="15">
        <f t="shared" si="117"/>
        <v>1134.3789929999998</v>
      </c>
      <c r="V795" s="135">
        <f t="shared" si="114"/>
        <v>8353.1544029999986</v>
      </c>
      <c r="W795" s="103">
        <v>17317</v>
      </c>
      <c r="Z795" s="114">
        <f t="shared" si="115"/>
        <v>39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2272.7247075</v>
      </c>
      <c r="U796" s="15">
        <f t="shared" si="117"/>
        <v>641.02491750000013</v>
      </c>
      <c r="V796" s="135">
        <f t="shared" si="114"/>
        <v>4720.2743924999995</v>
      </c>
      <c r="W796" s="103">
        <v>17317</v>
      </c>
      <c r="Z796" s="114">
        <f t="shared" si="115"/>
        <v>39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2272.7247075</v>
      </c>
      <c r="U797" s="15">
        <f t="shared" si="117"/>
        <v>641.02491750000013</v>
      </c>
      <c r="V797" s="135">
        <f t="shared" si="114"/>
        <v>4720.2743924999995</v>
      </c>
      <c r="W797" s="103">
        <v>17317</v>
      </c>
      <c r="Z797" s="114">
        <f t="shared" si="115"/>
        <v>39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2272.7247075</v>
      </c>
      <c r="U798" s="15">
        <f t="shared" si="117"/>
        <v>641.02491750000013</v>
      </c>
      <c r="V798" s="135">
        <f t="shared" si="114"/>
        <v>4720.2743924999995</v>
      </c>
      <c r="W798" s="103">
        <v>17317</v>
      </c>
      <c r="Z798" s="114">
        <f t="shared" si="115"/>
        <v>39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2272.7247075</v>
      </c>
      <c r="U799" s="15">
        <f t="shared" si="117"/>
        <v>641.02491750000013</v>
      </c>
      <c r="V799" s="135">
        <f t="shared" si="114"/>
        <v>4720.2743924999995</v>
      </c>
      <c r="W799" s="103">
        <v>17317</v>
      </c>
      <c r="Z799" s="114">
        <f t="shared" si="115"/>
        <v>39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2272.7247075</v>
      </c>
      <c r="U800" s="15">
        <f t="shared" si="117"/>
        <v>641.02491750000013</v>
      </c>
      <c r="V800" s="135">
        <f t="shared" si="114"/>
        <v>4720.2743924999995</v>
      </c>
      <c r="W800" s="103">
        <v>17317</v>
      </c>
      <c r="Z800" s="114">
        <f t="shared" si="115"/>
        <v>39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2272.7247075</v>
      </c>
      <c r="U801" s="15">
        <f t="shared" si="117"/>
        <v>641.02491750000013</v>
      </c>
      <c r="V801" s="135">
        <f t="shared" si="114"/>
        <v>4720.2743924999995</v>
      </c>
      <c r="W801" s="103">
        <v>17317</v>
      </c>
      <c r="Z801" s="114">
        <f t="shared" si="115"/>
        <v>39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491.39970749999998</v>
      </c>
      <c r="U802" s="15">
        <f t="shared" si="117"/>
        <v>138.5999175</v>
      </c>
      <c r="V802" s="135">
        <f t="shared" si="114"/>
        <v>1020.5993925</v>
      </c>
      <c r="W802" s="103">
        <v>17317</v>
      </c>
      <c r="Z802" s="114">
        <f t="shared" si="115"/>
        <v>39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491.39970749999998</v>
      </c>
      <c r="U803" s="15">
        <f t="shared" si="117"/>
        <v>138.5999175</v>
      </c>
      <c r="V803" s="135">
        <f t="shared" si="114"/>
        <v>1020.5993925</v>
      </c>
      <c r="W803" s="103">
        <v>17317</v>
      </c>
      <c r="Z803" s="114">
        <f t="shared" si="115"/>
        <v>39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491.39970749999998</v>
      </c>
      <c r="U804" s="15">
        <f t="shared" si="117"/>
        <v>138.5999175</v>
      </c>
      <c r="V804" s="135">
        <f t="shared" si="114"/>
        <v>1020.5993925</v>
      </c>
      <c r="W804" s="103">
        <v>17317</v>
      </c>
      <c r="Z804" s="114">
        <f t="shared" si="115"/>
        <v>39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491.39970749999998</v>
      </c>
      <c r="U805" s="15">
        <f t="shared" si="117"/>
        <v>138.5999175</v>
      </c>
      <c r="V805" s="135">
        <f t="shared" si="114"/>
        <v>1020.5993925</v>
      </c>
      <c r="W805" s="103">
        <v>17317</v>
      </c>
      <c r="Z805" s="114">
        <f t="shared" si="115"/>
        <v>39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491.39970749999998</v>
      </c>
      <c r="U806" s="15">
        <f t="shared" si="117"/>
        <v>138.5999175</v>
      </c>
      <c r="V806" s="135">
        <f t="shared" si="114"/>
        <v>1020.5993925</v>
      </c>
      <c r="W806" s="103">
        <v>17317</v>
      </c>
      <c r="Z806" s="114">
        <f t="shared" si="115"/>
        <v>39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491.39970749999998</v>
      </c>
      <c r="U807" s="15">
        <f t="shared" si="117"/>
        <v>138.5999175</v>
      </c>
      <c r="V807" s="135">
        <f t="shared" si="114"/>
        <v>1020.5993925</v>
      </c>
      <c r="W807" s="103">
        <v>17317</v>
      </c>
      <c r="Z807" s="114">
        <f t="shared" si="115"/>
        <v>39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491.39970749999998</v>
      </c>
      <c r="U808" s="15">
        <f t="shared" si="117"/>
        <v>138.5999175</v>
      </c>
      <c r="V808" s="135">
        <f t="shared" si="114"/>
        <v>1020.5993925</v>
      </c>
      <c r="W808" s="103">
        <v>17317</v>
      </c>
      <c r="Z808" s="114">
        <f t="shared" si="115"/>
        <v>39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491.39970749999998</v>
      </c>
      <c r="U809" s="15">
        <f t="shared" si="117"/>
        <v>138.5999175</v>
      </c>
      <c r="V809" s="135">
        <f t="shared" si="114"/>
        <v>1020.5993925</v>
      </c>
      <c r="W809" s="103">
        <v>17317</v>
      </c>
      <c r="Z809" s="114">
        <f t="shared" si="115"/>
        <v>39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491.39970749999998</v>
      </c>
      <c r="U810" s="15">
        <f t="shared" si="117"/>
        <v>138.5999175</v>
      </c>
      <c r="V810" s="135">
        <f t="shared" si="114"/>
        <v>1020.5993925</v>
      </c>
      <c r="W810" s="103">
        <v>17317</v>
      </c>
      <c r="Z810" s="114">
        <f t="shared" si="115"/>
        <v>39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491.39970749999998</v>
      </c>
      <c r="U811" s="15">
        <f t="shared" si="117"/>
        <v>138.5999175</v>
      </c>
      <c r="V811" s="135">
        <f t="shared" si="114"/>
        <v>1020.5993925</v>
      </c>
      <c r="W811" s="103">
        <v>17317</v>
      </c>
      <c r="Z811" s="114">
        <f t="shared" si="115"/>
        <v>39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491.39970749999998</v>
      </c>
      <c r="U812" s="15">
        <f t="shared" si="117"/>
        <v>138.5999175</v>
      </c>
      <c r="V812" s="135">
        <f t="shared" si="114"/>
        <v>1020.5993925</v>
      </c>
      <c r="W812" s="103">
        <v>17317</v>
      </c>
      <c r="Z812" s="114">
        <f t="shared" si="115"/>
        <v>39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491.39970749999998</v>
      </c>
      <c r="U813" s="15">
        <f t="shared" si="117"/>
        <v>138.5999175</v>
      </c>
      <c r="V813" s="135">
        <f t="shared" si="114"/>
        <v>1020.5993925</v>
      </c>
      <c r="W813" s="103">
        <v>17317</v>
      </c>
      <c r="Z813" s="114">
        <f t="shared" si="115"/>
        <v>39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491.39970749999998</v>
      </c>
      <c r="U814" s="15">
        <f t="shared" si="117"/>
        <v>138.5999175</v>
      </c>
      <c r="V814" s="135">
        <f t="shared" si="114"/>
        <v>1020.5993925</v>
      </c>
      <c r="W814" s="103">
        <v>17317</v>
      </c>
      <c r="Z814" s="114">
        <f t="shared" si="115"/>
        <v>39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491.39970749999998</v>
      </c>
      <c r="U815" s="15">
        <f t="shared" si="117"/>
        <v>138.5999175</v>
      </c>
      <c r="V815" s="135">
        <f t="shared" si="114"/>
        <v>1020.5993925</v>
      </c>
      <c r="W815" s="103">
        <v>17317</v>
      </c>
      <c r="Z815" s="114">
        <f t="shared" si="115"/>
        <v>39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491.39970749999998</v>
      </c>
      <c r="U816" s="15">
        <f t="shared" si="117"/>
        <v>138.5999175</v>
      </c>
      <c r="V816" s="135">
        <f t="shared" si="114"/>
        <v>1020.5993925</v>
      </c>
      <c r="W816" s="103">
        <v>17317</v>
      </c>
      <c r="Z816" s="114">
        <f t="shared" si="115"/>
        <v>39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491.39970749999998</v>
      </c>
      <c r="U817" s="15">
        <f t="shared" si="117"/>
        <v>138.5999175</v>
      </c>
      <c r="V817" s="135">
        <f t="shared" si="114"/>
        <v>1020.5993925</v>
      </c>
      <c r="W817" s="103">
        <v>17317</v>
      </c>
      <c r="Z817" s="114">
        <f t="shared" si="115"/>
        <v>39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491.39970749999998</v>
      </c>
      <c r="U818" s="15">
        <f t="shared" si="117"/>
        <v>138.5999175</v>
      </c>
      <c r="V818" s="135">
        <f t="shared" si="114"/>
        <v>1020.5993925</v>
      </c>
      <c r="W818" s="103">
        <v>17317</v>
      </c>
      <c r="Z818" s="114">
        <f t="shared" si="115"/>
        <v>39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491.39970749999998</v>
      </c>
      <c r="U819" s="15">
        <f t="shared" si="117"/>
        <v>138.5999175</v>
      </c>
      <c r="V819" s="135">
        <f t="shared" si="114"/>
        <v>1020.5993925</v>
      </c>
      <c r="W819" s="103">
        <v>17317</v>
      </c>
      <c r="Z819" s="114">
        <f t="shared" si="115"/>
        <v>39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491.39970749999998</v>
      </c>
      <c r="U820" s="15">
        <f t="shared" si="117"/>
        <v>138.5999175</v>
      </c>
      <c r="V820" s="135">
        <f t="shared" si="114"/>
        <v>1020.5993925</v>
      </c>
      <c r="W820" s="103">
        <v>17317</v>
      </c>
      <c r="Z820" s="114">
        <f t="shared" si="115"/>
        <v>39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491.39970749999998</v>
      </c>
      <c r="U821" s="15">
        <f t="shared" si="117"/>
        <v>138.5999175</v>
      </c>
      <c r="V821" s="135">
        <f t="shared" si="114"/>
        <v>1020.5993925</v>
      </c>
      <c r="W821" s="103">
        <v>17317</v>
      </c>
      <c r="Z821" s="114">
        <f t="shared" si="115"/>
        <v>39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491.39970749999998</v>
      </c>
      <c r="U822" s="15">
        <f t="shared" si="117"/>
        <v>138.5999175</v>
      </c>
      <c r="V822" s="135">
        <f t="shared" si="114"/>
        <v>1020.5993925</v>
      </c>
      <c r="W822" s="103">
        <v>17317</v>
      </c>
      <c r="Z822" s="114">
        <f t="shared" si="115"/>
        <v>39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491.39970749999998</v>
      </c>
      <c r="U823" s="15">
        <f t="shared" si="117"/>
        <v>138.5999175</v>
      </c>
      <c r="V823" s="135">
        <f t="shared" si="114"/>
        <v>1020.5993925</v>
      </c>
      <c r="W823" s="103">
        <v>17317</v>
      </c>
      <c r="Z823" s="114">
        <f t="shared" si="115"/>
        <v>39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491.39970749999998</v>
      </c>
      <c r="U824" s="15">
        <f t="shared" si="117"/>
        <v>138.5999175</v>
      </c>
      <c r="V824" s="135">
        <f t="shared" si="114"/>
        <v>1020.5993925</v>
      </c>
      <c r="W824" s="103">
        <v>17317</v>
      </c>
      <c r="Z824" s="114">
        <f t="shared" si="115"/>
        <v>39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491.39970749999998</v>
      </c>
      <c r="U825" s="15">
        <f t="shared" si="117"/>
        <v>138.5999175</v>
      </c>
      <c r="V825" s="135">
        <f t="shared" si="114"/>
        <v>1020.5993925</v>
      </c>
      <c r="W825" s="103">
        <v>17317</v>
      </c>
      <c r="Z825" s="114">
        <f t="shared" si="115"/>
        <v>39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491.39970749999998</v>
      </c>
      <c r="U826" s="15">
        <f t="shared" si="117"/>
        <v>138.5999175</v>
      </c>
      <c r="V826" s="135">
        <f t="shared" si="114"/>
        <v>1020.5993925</v>
      </c>
      <c r="W826" s="103">
        <v>17317</v>
      </c>
      <c r="Z826" s="114">
        <f t="shared" si="115"/>
        <v>39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491.39970749999998</v>
      </c>
      <c r="U827" s="15">
        <f t="shared" si="117"/>
        <v>138.5999175</v>
      </c>
      <c r="V827" s="135">
        <f t="shared" si="114"/>
        <v>1020.5993925</v>
      </c>
      <c r="W827" s="103">
        <v>17317</v>
      </c>
      <c r="Z827" s="114">
        <f t="shared" si="115"/>
        <v>39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1140.7496724</v>
      </c>
      <c r="U828" s="15">
        <f t="shared" si="117"/>
        <v>321.74990759999991</v>
      </c>
      <c r="V828" s="135">
        <f t="shared" si="114"/>
        <v>2369.2493196000005</v>
      </c>
      <c r="W828" s="103">
        <v>17317</v>
      </c>
      <c r="Z828" s="114">
        <f t="shared" si="115"/>
        <v>39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1140.7496724</v>
      </c>
      <c r="U829" s="15">
        <f t="shared" si="117"/>
        <v>321.74990759999991</v>
      </c>
      <c r="V829" s="135">
        <f t="shared" si="114"/>
        <v>2369.2493196000005</v>
      </c>
      <c r="W829" s="103">
        <v>17317</v>
      </c>
      <c r="Z829" s="114">
        <f t="shared" si="115"/>
        <v>39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1140.7496724</v>
      </c>
      <c r="U830" s="15">
        <f t="shared" si="117"/>
        <v>321.74990759999991</v>
      </c>
      <c r="V830" s="135">
        <f t="shared" si="114"/>
        <v>2369.2493196000005</v>
      </c>
      <c r="W830" s="103">
        <v>17317</v>
      </c>
      <c r="Z830" s="114">
        <f t="shared" si="115"/>
        <v>39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1140.7496724</v>
      </c>
      <c r="U831" s="15">
        <f t="shared" si="117"/>
        <v>321.74990759999991</v>
      </c>
      <c r="V831" s="135">
        <f t="shared" si="114"/>
        <v>2369.2493196000005</v>
      </c>
      <c r="W831" s="103">
        <v>17317</v>
      </c>
      <c r="Z831" s="114">
        <f t="shared" si="115"/>
        <v>39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1140.7496724</v>
      </c>
      <c r="U832" s="15">
        <f t="shared" si="117"/>
        <v>321.74990759999991</v>
      </c>
      <c r="V832" s="135">
        <f t="shared" si="114"/>
        <v>2369.2493196000005</v>
      </c>
      <c r="W832" s="103">
        <v>17317</v>
      </c>
      <c r="Z832" s="114">
        <f t="shared" si="115"/>
        <v>39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1140.7496724</v>
      </c>
      <c r="U833" s="15">
        <f t="shared" si="117"/>
        <v>321.74990759999991</v>
      </c>
      <c r="V833" s="135">
        <f t="shared" si="114"/>
        <v>2369.2493196000005</v>
      </c>
      <c r="W833" s="103">
        <v>17317</v>
      </c>
      <c r="Z833" s="114">
        <f t="shared" si="115"/>
        <v>39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1140.7496724</v>
      </c>
      <c r="U834" s="15">
        <f t="shared" si="117"/>
        <v>321.74990759999991</v>
      </c>
      <c r="V834" s="135">
        <f t="shared" si="114"/>
        <v>2369.2493196000005</v>
      </c>
      <c r="W834" s="103">
        <v>17317</v>
      </c>
      <c r="Z834" s="114">
        <f t="shared" si="115"/>
        <v>39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1140.7496724</v>
      </c>
      <c r="U835" s="15">
        <f t="shared" si="117"/>
        <v>321.74990759999991</v>
      </c>
      <c r="V835" s="135">
        <f t="shared" si="114"/>
        <v>2369.2493196000005</v>
      </c>
      <c r="W835" s="103">
        <v>17317</v>
      </c>
      <c r="Z835" s="114">
        <f t="shared" si="115"/>
        <v>39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1140.7496724</v>
      </c>
      <c r="U836" s="15">
        <f t="shared" si="117"/>
        <v>321.74990759999991</v>
      </c>
      <c r="V836" s="135">
        <f t="shared" si="114"/>
        <v>2369.2493196000005</v>
      </c>
      <c r="W836" s="103">
        <v>17317</v>
      </c>
      <c r="Z836" s="114">
        <f t="shared" si="115"/>
        <v>39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1140.7496724</v>
      </c>
      <c r="U837" s="15">
        <f t="shared" si="117"/>
        <v>321.74990759999991</v>
      </c>
      <c r="V837" s="135">
        <f t="shared" si="114"/>
        <v>2369.2493196000005</v>
      </c>
      <c r="W837" s="103">
        <v>17317</v>
      </c>
      <c r="Z837" s="114">
        <f t="shared" si="115"/>
        <v>39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1140.7496724</v>
      </c>
      <c r="U838" s="15">
        <f t="shared" si="117"/>
        <v>321.74990759999991</v>
      </c>
      <c r="V838" s="135">
        <f t="shared" si="114"/>
        <v>2369.2493196000005</v>
      </c>
      <c r="W838" s="103">
        <v>17317</v>
      </c>
      <c r="Z838" s="114">
        <f t="shared" si="115"/>
        <v>39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1140.7496724</v>
      </c>
      <c r="U839" s="15">
        <f t="shared" si="117"/>
        <v>321.74990759999991</v>
      </c>
      <c r="V839" s="135">
        <f t="shared" si="114"/>
        <v>2369.2493196000005</v>
      </c>
      <c r="W839" s="103">
        <v>17317</v>
      </c>
      <c r="Z839" s="114">
        <f t="shared" si="115"/>
        <v>39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1140.7496724</v>
      </c>
      <c r="U840" s="15">
        <f t="shared" si="117"/>
        <v>321.74990759999991</v>
      </c>
      <c r="V840" s="135">
        <f t="shared" si="114"/>
        <v>2369.2493196000005</v>
      </c>
      <c r="W840" s="103">
        <v>17317</v>
      </c>
      <c r="Z840" s="114">
        <f t="shared" si="115"/>
        <v>39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1140.7204223999997</v>
      </c>
      <c r="U841" s="15">
        <f t="shared" si="117"/>
        <v>321.74165759999994</v>
      </c>
      <c r="V841" s="135">
        <f t="shared" si="114"/>
        <v>2369.1885695999999</v>
      </c>
      <c r="W841" s="103">
        <v>17317</v>
      </c>
      <c r="Z841" s="114">
        <f t="shared" si="115"/>
        <v>39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1615.068</v>
      </c>
      <c r="U842" s="15">
        <f t="shared" si="117"/>
        <v>455.53199999999993</v>
      </c>
      <c r="V842" s="135">
        <f t="shared" si="114"/>
        <v>3354.3719999999994</v>
      </c>
      <c r="W842" s="103">
        <v>17315</v>
      </c>
      <c r="Z842" s="114">
        <f t="shared" si="115"/>
        <v>39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1615.068</v>
      </c>
      <c r="U843" s="15">
        <f t="shared" si="117"/>
        <v>455.53199999999993</v>
      </c>
      <c r="V843" s="135">
        <f t="shared" si="114"/>
        <v>3354.3719999999994</v>
      </c>
      <c r="W843" s="103">
        <v>17315</v>
      </c>
      <c r="Z843" s="114">
        <f t="shared" si="115"/>
        <v>39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1615.068</v>
      </c>
      <c r="U844" s="15">
        <f t="shared" si="117"/>
        <v>455.53199999999993</v>
      </c>
      <c r="V844" s="135">
        <f t="shared" si="114"/>
        <v>3354.3719999999994</v>
      </c>
      <c r="W844" s="103">
        <v>17315</v>
      </c>
      <c r="Z844" s="114">
        <f t="shared" si="115"/>
        <v>39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1615.068</v>
      </c>
      <c r="U845" s="15">
        <f t="shared" si="117"/>
        <v>455.53199999999993</v>
      </c>
      <c r="V845" s="135">
        <f t="shared" si="114"/>
        <v>3354.3719999999994</v>
      </c>
      <c r="W845" s="103">
        <v>17315</v>
      </c>
      <c r="Z845" s="114">
        <f t="shared" si="115"/>
        <v>39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1948.375</v>
      </c>
      <c r="U846" s="15">
        <f t="shared" si="117"/>
        <v>549.54166666666652</v>
      </c>
      <c r="V846" s="135">
        <f t="shared" si="114"/>
        <v>4046.625</v>
      </c>
      <c r="W846" s="103">
        <v>17375</v>
      </c>
      <c r="Z846" s="114">
        <f t="shared" si="115"/>
        <v>39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544.375</v>
      </c>
      <c r="U847" s="15">
        <f t="shared" si="117"/>
        <v>153.54166666666663</v>
      </c>
      <c r="V847" s="135">
        <f t="shared" si="114"/>
        <v>1130.625</v>
      </c>
      <c r="W847" s="103">
        <v>17375</v>
      </c>
      <c r="Z847" s="114">
        <f t="shared" si="115"/>
        <v>39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544.375</v>
      </c>
      <c r="U848" s="15">
        <f t="shared" si="117"/>
        <v>153.54166666666663</v>
      </c>
      <c r="V848" s="135">
        <f t="shared" si="114"/>
        <v>1130.625</v>
      </c>
      <c r="W848" s="103">
        <v>17375</v>
      </c>
      <c r="Z848" s="114">
        <f t="shared" si="115"/>
        <v>39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544.375</v>
      </c>
      <c r="U849" s="15">
        <f t="shared" si="117"/>
        <v>153.54166666666663</v>
      </c>
      <c r="V849" s="135">
        <f t="shared" si="114"/>
        <v>1130.625</v>
      </c>
      <c r="W849" s="103">
        <v>17375</v>
      </c>
      <c r="Z849" s="114">
        <f t="shared" si="115"/>
        <v>39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9611.875</v>
      </c>
      <c r="U850" s="15">
        <f t="shared" si="117"/>
        <v>2711.0416666666661</v>
      </c>
      <c r="V850" s="135">
        <f t="shared" si="114"/>
        <v>19963.125</v>
      </c>
      <c r="W850" s="103">
        <v>17375</v>
      </c>
      <c r="Z850" s="114">
        <f t="shared" si="115"/>
        <v>39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544.375</v>
      </c>
      <c r="U851" s="15">
        <f t="shared" si="117"/>
        <v>153.54166666666663</v>
      </c>
      <c r="V851" s="135">
        <f t="shared" si="114"/>
        <v>1130.625</v>
      </c>
      <c r="W851" s="103">
        <v>17375</v>
      </c>
      <c r="Z851" s="114">
        <f t="shared" si="115"/>
        <v>39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544.375</v>
      </c>
      <c r="U852" s="15">
        <f t="shared" si="117"/>
        <v>153.54166666666663</v>
      </c>
      <c r="V852" s="135">
        <f t="shared" si="114"/>
        <v>1130.625</v>
      </c>
      <c r="W852" s="103">
        <v>17375</v>
      </c>
      <c r="Z852" s="114">
        <f t="shared" si="115"/>
        <v>39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544.375</v>
      </c>
      <c r="U853" s="15">
        <f t="shared" si="117"/>
        <v>153.54166666666663</v>
      </c>
      <c r="V853" s="135">
        <f t="shared" si="114"/>
        <v>1130.625</v>
      </c>
      <c r="W853" s="103">
        <v>17375</v>
      </c>
      <c r="Z853" s="114">
        <f t="shared" si="115"/>
        <v>39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544.375</v>
      </c>
      <c r="U854" s="15">
        <f t="shared" si="117"/>
        <v>153.54166666666663</v>
      </c>
      <c r="V854" s="135">
        <f t="shared" si="114"/>
        <v>1130.625</v>
      </c>
      <c r="W854" s="103">
        <v>17375</v>
      </c>
      <c r="Z854" s="114">
        <f t="shared" si="115"/>
        <v>39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544.375</v>
      </c>
      <c r="U855" s="15">
        <f t="shared" si="117"/>
        <v>153.54166666666663</v>
      </c>
      <c r="V855" s="135">
        <f t="shared" si="114"/>
        <v>1130.625</v>
      </c>
      <c r="W855" s="103">
        <v>17375</v>
      </c>
      <c r="Z855" s="114">
        <f t="shared" si="115"/>
        <v>39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544.375</v>
      </c>
      <c r="U856" s="15">
        <f t="shared" si="117"/>
        <v>153.54166666666663</v>
      </c>
      <c r="V856" s="135">
        <f t="shared" ref="V856:V882" si="119">N856-T856</f>
        <v>1130.625</v>
      </c>
      <c r="W856" s="103">
        <v>17375</v>
      </c>
      <c r="Z856" s="114">
        <f t="shared" ref="Z856:Z882" si="120">IF((DATEDIF(G856,Z$4,"m"))&gt;=120,120,(DATEDIF(G856,Z$4,"m")))</f>
        <v>39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235.625</v>
      </c>
      <c r="U857" s="15">
        <f t="shared" ref="U857:U882" si="122">T857-S857</f>
        <v>66.458333333333314</v>
      </c>
      <c r="V857" s="280">
        <f t="shared" si="119"/>
        <v>489.375</v>
      </c>
      <c r="W857" s="279">
        <v>17384</v>
      </c>
      <c r="Z857" s="281">
        <f t="shared" si="120"/>
        <v>39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235.625</v>
      </c>
      <c r="U858" s="15">
        <f t="shared" si="122"/>
        <v>66.458333333333314</v>
      </c>
      <c r="V858" s="280">
        <f t="shared" si="119"/>
        <v>489.375</v>
      </c>
      <c r="W858" s="279">
        <v>17384</v>
      </c>
      <c r="Z858" s="281">
        <f t="shared" si="120"/>
        <v>39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235.625</v>
      </c>
      <c r="U859" s="15">
        <f t="shared" si="122"/>
        <v>66.458333333333314</v>
      </c>
      <c r="V859" s="280">
        <f t="shared" si="119"/>
        <v>489.375</v>
      </c>
      <c r="W859" s="279">
        <v>17384</v>
      </c>
      <c r="Z859" s="281">
        <f t="shared" si="120"/>
        <v>39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235.625</v>
      </c>
      <c r="U860" s="15">
        <f t="shared" si="122"/>
        <v>66.458333333333314</v>
      </c>
      <c r="V860" s="280">
        <f t="shared" si="119"/>
        <v>489.375</v>
      </c>
      <c r="W860" s="279">
        <v>17384</v>
      </c>
      <c r="Z860" s="281">
        <f t="shared" si="120"/>
        <v>39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235.625</v>
      </c>
      <c r="U861" s="15">
        <f t="shared" si="122"/>
        <v>66.458333333333314</v>
      </c>
      <c r="V861" s="280">
        <f t="shared" si="119"/>
        <v>489.375</v>
      </c>
      <c r="W861" s="279">
        <v>17384</v>
      </c>
      <c r="Z861" s="281">
        <f t="shared" si="120"/>
        <v>39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235.625</v>
      </c>
      <c r="U862" s="15">
        <f t="shared" si="122"/>
        <v>66.458333333333314</v>
      </c>
      <c r="V862" s="280">
        <f t="shared" si="119"/>
        <v>489.375</v>
      </c>
      <c r="W862" s="279">
        <v>17384</v>
      </c>
      <c r="Z862" s="281">
        <f t="shared" si="120"/>
        <v>39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235.625</v>
      </c>
      <c r="U863" s="15">
        <f t="shared" si="122"/>
        <v>66.458333333333314</v>
      </c>
      <c r="V863" s="280">
        <f t="shared" si="119"/>
        <v>489.375</v>
      </c>
      <c r="W863" s="279">
        <v>17384</v>
      </c>
      <c r="Z863" s="281">
        <f t="shared" si="120"/>
        <v>39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235.625</v>
      </c>
      <c r="U864" s="15">
        <f t="shared" si="122"/>
        <v>66.458333333333314</v>
      </c>
      <c r="V864" s="280">
        <f t="shared" si="119"/>
        <v>489.375</v>
      </c>
      <c r="W864" s="279">
        <v>17384</v>
      </c>
      <c r="Z864" s="281">
        <f t="shared" si="120"/>
        <v>39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235.625</v>
      </c>
      <c r="U865" s="15">
        <f t="shared" si="122"/>
        <v>66.458333333333314</v>
      </c>
      <c r="V865" s="280">
        <f t="shared" si="119"/>
        <v>489.375</v>
      </c>
      <c r="W865" s="279">
        <v>17384</v>
      </c>
      <c r="Z865" s="281">
        <f t="shared" si="120"/>
        <v>39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235.625</v>
      </c>
      <c r="U866" s="15">
        <f t="shared" si="122"/>
        <v>66.458333333333314</v>
      </c>
      <c r="V866" s="280">
        <f t="shared" si="119"/>
        <v>489.375</v>
      </c>
      <c r="W866" s="279">
        <v>17384</v>
      </c>
      <c r="Z866" s="281">
        <f t="shared" si="120"/>
        <v>39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235.625</v>
      </c>
      <c r="U867" s="15">
        <f t="shared" si="122"/>
        <v>66.458333333333314</v>
      </c>
      <c r="V867" s="280">
        <f t="shared" si="119"/>
        <v>489.375</v>
      </c>
      <c r="W867" s="279">
        <v>17384</v>
      </c>
      <c r="Z867" s="281">
        <f t="shared" si="120"/>
        <v>39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235.625</v>
      </c>
      <c r="U868" s="15">
        <f t="shared" si="122"/>
        <v>66.458333333333314</v>
      </c>
      <c r="V868" s="280">
        <f t="shared" si="119"/>
        <v>489.375</v>
      </c>
      <c r="W868" s="279">
        <v>17384</v>
      </c>
      <c r="Z868" s="281">
        <f t="shared" si="120"/>
        <v>39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235.625</v>
      </c>
      <c r="U869" s="15">
        <f t="shared" si="122"/>
        <v>66.458333333333314</v>
      </c>
      <c r="V869" s="280">
        <f t="shared" si="119"/>
        <v>489.375</v>
      </c>
      <c r="W869" s="279">
        <v>17384</v>
      </c>
      <c r="Z869" s="281">
        <f t="shared" si="120"/>
        <v>39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235.625</v>
      </c>
      <c r="U870" s="15">
        <f t="shared" si="122"/>
        <v>66.458333333333314</v>
      </c>
      <c r="V870" s="280">
        <f t="shared" si="119"/>
        <v>489.375</v>
      </c>
      <c r="W870" s="279">
        <v>17384</v>
      </c>
      <c r="Z870" s="281">
        <f t="shared" si="120"/>
        <v>39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235.625</v>
      </c>
      <c r="U871" s="15">
        <f t="shared" si="122"/>
        <v>66.458333333333314</v>
      </c>
      <c r="V871" s="280">
        <f t="shared" si="119"/>
        <v>489.375</v>
      </c>
      <c r="W871" s="279">
        <v>17384</v>
      </c>
      <c r="Z871" s="281">
        <f t="shared" si="120"/>
        <v>39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235.625</v>
      </c>
      <c r="U872" s="15">
        <f t="shared" si="122"/>
        <v>66.458333333333314</v>
      </c>
      <c r="V872" s="280">
        <f t="shared" si="119"/>
        <v>489.375</v>
      </c>
      <c r="W872" s="279">
        <v>17384</v>
      </c>
      <c r="Z872" s="281">
        <f t="shared" si="120"/>
        <v>39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235.625</v>
      </c>
      <c r="U873" s="15">
        <f t="shared" si="122"/>
        <v>66.458333333333314</v>
      </c>
      <c r="V873" s="280">
        <f t="shared" si="119"/>
        <v>489.375</v>
      </c>
      <c r="W873" s="279">
        <v>17384</v>
      </c>
      <c r="Z873" s="281">
        <f t="shared" si="120"/>
        <v>39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235.625</v>
      </c>
      <c r="U874" s="15">
        <f t="shared" si="122"/>
        <v>66.458333333333314</v>
      </c>
      <c r="V874" s="280">
        <f t="shared" si="119"/>
        <v>489.375</v>
      </c>
      <c r="W874" s="279">
        <v>17384</v>
      </c>
      <c r="Z874" s="281">
        <f t="shared" si="120"/>
        <v>39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235.625</v>
      </c>
      <c r="U875" s="15">
        <f t="shared" si="122"/>
        <v>66.458333333333314</v>
      </c>
      <c r="V875" s="280">
        <f t="shared" si="119"/>
        <v>489.375</v>
      </c>
      <c r="W875" s="279">
        <v>17384</v>
      </c>
      <c r="Z875" s="281">
        <f t="shared" si="120"/>
        <v>39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235.625</v>
      </c>
      <c r="U876" s="15">
        <f t="shared" si="122"/>
        <v>66.458333333333314</v>
      </c>
      <c r="V876" s="280">
        <f t="shared" si="119"/>
        <v>489.375</v>
      </c>
      <c r="W876" s="279">
        <v>17384</v>
      </c>
      <c r="Z876" s="281">
        <f t="shared" si="120"/>
        <v>39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235.625</v>
      </c>
      <c r="U877" s="15">
        <f t="shared" si="122"/>
        <v>66.458333333333314</v>
      </c>
      <c r="V877" s="280">
        <f t="shared" si="119"/>
        <v>489.375</v>
      </c>
      <c r="W877" s="279">
        <v>17384</v>
      </c>
      <c r="Z877" s="281">
        <f t="shared" si="120"/>
        <v>39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235.625</v>
      </c>
      <c r="U878" s="15">
        <f t="shared" si="122"/>
        <v>66.458333333333314</v>
      </c>
      <c r="V878" s="280">
        <f t="shared" si="119"/>
        <v>489.375</v>
      </c>
      <c r="W878" s="279">
        <v>17384</v>
      </c>
      <c r="Z878" s="281">
        <f t="shared" si="120"/>
        <v>39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235.625</v>
      </c>
      <c r="U879" s="15">
        <f t="shared" si="122"/>
        <v>66.458333333333314</v>
      </c>
      <c r="V879" s="280">
        <f t="shared" si="119"/>
        <v>489.375</v>
      </c>
      <c r="W879" s="279">
        <v>17384</v>
      </c>
      <c r="Z879" s="281">
        <f t="shared" si="120"/>
        <v>39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235.625</v>
      </c>
      <c r="U880" s="15">
        <f t="shared" si="122"/>
        <v>66.458333333333314</v>
      </c>
      <c r="V880" s="280">
        <f t="shared" si="119"/>
        <v>489.375</v>
      </c>
      <c r="W880" s="279">
        <v>17384</v>
      </c>
      <c r="Z880" s="281">
        <f t="shared" si="120"/>
        <v>39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235.625</v>
      </c>
      <c r="U881" s="15">
        <f t="shared" si="122"/>
        <v>66.458333333333314</v>
      </c>
      <c r="V881" s="280">
        <f t="shared" si="119"/>
        <v>489.375</v>
      </c>
      <c r="W881" s="279">
        <v>17384</v>
      </c>
      <c r="Z881" s="281">
        <f t="shared" si="120"/>
        <v>39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235.625</v>
      </c>
      <c r="U882" s="15">
        <f t="shared" si="122"/>
        <v>66.458333333333314</v>
      </c>
      <c r="V882" s="280">
        <f t="shared" si="119"/>
        <v>489.375</v>
      </c>
      <c r="W882" s="279">
        <v>17384</v>
      </c>
      <c r="Z882" s="281">
        <f t="shared" si="120"/>
        <v>39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87516.896181000033</v>
      </c>
      <c r="U883" s="113">
        <f>SUM(U792:U882)</f>
        <v>24684.252768999977</v>
      </c>
      <c r="V883" s="113">
        <f>SUM(V792:V882)</f>
        <v>181765.86129899981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5722.6860000000006</v>
      </c>
      <c r="U885" s="15">
        <f>T885-S885</f>
        <v>1656.5670000000005</v>
      </c>
      <c r="V885" s="280">
        <f>N885-T885</f>
        <v>12348.953999999998</v>
      </c>
      <c r="W885" s="279">
        <v>17419</v>
      </c>
      <c r="Z885" s="281">
        <f>IF((DATEDIF(G885,Z$4,"m"))&gt;=120,120,(DATEDIF(G885,Z$4,"m")))</f>
        <v>38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2797.4189166666665</v>
      </c>
      <c r="U886" s="15">
        <f>T886-S886</f>
        <v>831.66508333333331</v>
      </c>
      <c r="V886" s="135">
        <f>N886-T886</f>
        <v>6275.2910833333326</v>
      </c>
      <c r="W886" s="103">
        <v>17577</v>
      </c>
      <c r="X886" s="136"/>
      <c r="Y886" s="230"/>
      <c r="Z886" s="114">
        <f>IF((DATEDIF(G886,Z$4,"m"))&gt;=120,120,(DATEDIF(G886,Z$4,"m")))</f>
        <v>37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2848.5</v>
      </c>
      <c r="U887" s="15">
        <f>T887-S887</f>
        <v>870.375</v>
      </c>
      <c r="V887" s="291">
        <f>N887-T887</f>
        <v>6646.5</v>
      </c>
      <c r="W887" s="279">
        <v>17876</v>
      </c>
      <c r="X887" s="292"/>
      <c r="Y887" s="293"/>
      <c r="Z887" s="281">
        <f>IF((DATEDIF(G887,Z$4,"m"))&gt;=120,120,(DATEDIF(G887,Z$4,"m")))</f>
        <v>36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11368.604916666667</v>
      </c>
      <c r="U888" s="109">
        <f t="shared" si="123"/>
        <v>3358.6070833333338</v>
      </c>
      <c r="V888" s="109">
        <f t="shared" si="123"/>
        <v>25270.745083333331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122858.02893100002</v>
      </c>
      <c r="U890" s="115">
        <f>+U883+U790+U775+U888</f>
        <v>34423.610060666644</v>
      </c>
      <c r="V890" s="115">
        <f>+V883+V790+V775+V888</f>
        <v>253589.53354899981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62205.764884322642</v>
      </c>
      <c r="S892" s="294">
        <v>5545737.1095161643</v>
      </c>
      <c r="T892" s="294">
        <f>+T890+T771</f>
        <v>5982190.5972394673</v>
      </c>
      <c r="U892" s="294">
        <f>+U890+U771</f>
        <v>436411.28651548643</v>
      </c>
      <c r="V892" s="294">
        <f>+V890+V771</f>
        <v>1962475.4688792499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2224.166666666667</v>
      </c>
      <c r="U894" s="15">
        <f>T894-S894</f>
        <v>719.58333333333348</v>
      </c>
      <c r="V894" s="280">
        <f>N894-T894</f>
        <v>5625.833333333333</v>
      </c>
      <c r="W894" s="103">
        <v>17876</v>
      </c>
      <c r="X894" s="136"/>
      <c r="Y894" s="230"/>
      <c r="Z894" s="114">
        <f>IF((DATEDIF(G894,Z$4,"m"))&gt;=120,120,(DATEDIF(G894,Z$4,"m")))</f>
        <v>34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2224.166666666667</v>
      </c>
      <c r="U895" s="15">
        <f>T895-S895</f>
        <v>719.58333333333348</v>
      </c>
      <c r="V895" s="280">
        <f>N895-T895</f>
        <v>5625.833333333333</v>
      </c>
      <c r="W895" s="103">
        <v>17876</v>
      </c>
      <c r="X895" s="136"/>
      <c r="Y895" s="230"/>
      <c r="Z895" s="114">
        <f>IF((DATEDIF(G895,Z$4,"m"))&gt;=120,120,(DATEDIF(G895,Z$4,"m")))</f>
        <v>34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4448.3333333333339</v>
      </c>
      <c r="U896" s="113">
        <f>SUM(U893:U895)</f>
        <v>1439.166666666667</v>
      </c>
      <c r="V896" s="113">
        <f>SUM(V893:V895)</f>
        <v>11251.666666666666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6439.7025000000003</v>
      </c>
      <c r="U898" s="15">
        <f>T898-S898</f>
        <v>2146.5675000000001</v>
      </c>
      <c r="V898" s="280">
        <f>N898-T898</f>
        <v>16977.397499999999</v>
      </c>
      <c r="W898" s="103">
        <v>17890</v>
      </c>
      <c r="X898" s="136"/>
      <c r="Y898" s="230"/>
      <c r="Z898" s="114">
        <f>IF((DATEDIF(G898,Z$4,"m"))&gt;=120,120,(DATEDIF(G898,Z$4,"m")))</f>
        <v>33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10584.475</v>
      </c>
      <c r="U899" s="15">
        <f>T899-S899</f>
        <v>3528.1583333333338</v>
      </c>
      <c r="V899" s="280">
        <f>N899-T899</f>
        <v>27905.525000000001</v>
      </c>
      <c r="W899" s="103">
        <v>18036</v>
      </c>
      <c r="Y899" s="135"/>
      <c r="Z899" s="114">
        <f>IF((DATEDIF(G899,Z$4,"m"))&gt;=120,120,(DATEDIF(G899,Z$4,"m")))</f>
        <v>33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17024.177500000002</v>
      </c>
      <c r="U900" s="113">
        <f>SUM(U898:U899)</f>
        <v>5674.7258333333339</v>
      </c>
      <c r="V900" s="113">
        <f>SUM(V898:V899)</f>
        <v>44882.922500000001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6487.3</v>
      </c>
      <c r="U902" s="15">
        <f>T902-S902</f>
        <v>2460.6999999999998</v>
      </c>
      <c r="V902" s="280">
        <f>N902-T902</f>
        <v>20357.7</v>
      </c>
      <c r="W902" s="103">
        <v>18257</v>
      </c>
      <c r="X902" s="103"/>
      <c r="Y902" s="135"/>
      <c r="Z902" s="114">
        <f>IF((DATEDIF(G902,Z$4,"m"))&gt;=120,120,(DATEDIF(G902,Z$4,"m")))</f>
        <v>29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47403.013333333336</v>
      </c>
      <c r="U903" s="15">
        <f>T903-S903</f>
        <v>17980.453333333335</v>
      </c>
      <c r="V903" s="280">
        <f>N903-T903</f>
        <v>148748.38666666666</v>
      </c>
      <c r="W903" s="103">
        <v>18058</v>
      </c>
      <c r="X903" s="103"/>
      <c r="Y903" s="135"/>
      <c r="Z903" s="114">
        <f>IF((DATEDIF(G903,Z$4,"m"))&gt;=120,120,(DATEDIF(G903,Z$4,"m")))</f>
        <v>29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53890.313333333339</v>
      </c>
      <c r="U904" s="113">
        <f>SUM(U902:U903)</f>
        <v>20441.153333333335</v>
      </c>
      <c r="V904" s="113">
        <f>SUM(V902:V903)</f>
        <v>169106.08666666667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5832.5532222222218</v>
      </c>
      <c r="U906" s="15">
        <f>T906-S906</f>
        <v>2291.360194444444</v>
      </c>
      <c r="V906" s="280">
        <f>N906-T906</f>
        <v>1667.4437777777785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28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5832.5532222222218</v>
      </c>
      <c r="U907" s="15">
        <f t="shared" ref="U907:U912" si="126">T907-S907</f>
        <v>2291.360194444444</v>
      </c>
      <c r="V907" s="280">
        <f t="shared" ref="V907:V912" si="127">N907-T907</f>
        <v>1667.4437777777785</v>
      </c>
      <c r="W907" s="103">
        <v>18253</v>
      </c>
      <c r="Z907" s="114">
        <f t="shared" si="124"/>
        <v>28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5832.5532222222218</v>
      </c>
      <c r="U908" s="15">
        <f t="shared" si="126"/>
        <v>2291.360194444444</v>
      </c>
      <c r="V908" s="280">
        <f t="shared" si="127"/>
        <v>1667.4437777777785</v>
      </c>
      <c r="W908" s="103">
        <v>18308</v>
      </c>
      <c r="Z908" s="114">
        <f t="shared" si="124"/>
        <v>28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5832.5532222222218</v>
      </c>
      <c r="U909" s="15">
        <f t="shared" si="126"/>
        <v>2291.360194444444</v>
      </c>
      <c r="V909" s="280">
        <f t="shared" si="127"/>
        <v>1667.4437777777785</v>
      </c>
      <c r="W909" s="103">
        <v>18308</v>
      </c>
      <c r="Z909" s="114">
        <f t="shared" si="124"/>
        <v>28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8088.7846666666674</v>
      </c>
      <c r="U910" s="15">
        <f t="shared" si="126"/>
        <v>3177.7368333333334</v>
      </c>
      <c r="V910" s="280">
        <f t="shared" si="127"/>
        <v>26578.435333333335</v>
      </c>
      <c r="W910" s="103">
        <v>18384</v>
      </c>
      <c r="X910" s="103"/>
      <c r="Y910" s="135"/>
      <c r="Z910" s="114">
        <f t="shared" si="124"/>
        <v>28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8088.7846666666674</v>
      </c>
      <c r="U911" s="15">
        <f t="shared" si="126"/>
        <v>3177.7368333333334</v>
      </c>
      <c r="V911" s="280">
        <f t="shared" si="127"/>
        <v>26578.435333333335</v>
      </c>
      <c r="W911" s="103">
        <v>18384</v>
      </c>
      <c r="X911" s="103"/>
      <c r="Y911" s="135"/>
      <c r="Z911" s="114">
        <f t="shared" si="124"/>
        <v>28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21505.275000000001</v>
      </c>
      <c r="U912" s="15">
        <f t="shared" si="126"/>
        <v>7964.9166666666679</v>
      </c>
      <c r="V912" s="280">
        <f t="shared" si="127"/>
        <v>74074.725000000006</v>
      </c>
      <c r="W912" s="103">
        <v>18325</v>
      </c>
      <c r="X912" s="103"/>
      <c r="Y912" s="135"/>
      <c r="Z912" s="114">
        <f t="shared" si="124"/>
        <v>27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61013.057222222225</v>
      </c>
      <c r="U913" s="109">
        <f>SUM(U906:U912)</f>
        <v>23485.831111111111</v>
      </c>
      <c r="V913" s="109">
        <f>SUM(V906:V912)</f>
        <v>133901.3707777778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6696.0941666666668</v>
      </c>
      <c r="U915" s="15">
        <f>T915-S915</f>
        <v>2832.9629166666668</v>
      </c>
      <c r="V915" s="135">
        <f>N915-T915</f>
        <v>24209.955833333333</v>
      </c>
      <c r="W915" s="103">
        <v>18517</v>
      </c>
      <c r="X915" s="103"/>
      <c r="Y915" s="135"/>
      <c r="Z915" s="114">
        <f>IF((DATEDIF(G915,Z$4,"m"))&gt;=120,120,(DATEDIF(G915,Z$4,"m")))</f>
        <v>26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3741.8376666666663</v>
      </c>
      <c r="U916" s="15">
        <f>T916-S916</f>
        <v>1583.0851666666663</v>
      </c>
      <c r="V916" s="135">
        <f>N916-T916</f>
        <v>13529.182333333334</v>
      </c>
      <c r="W916" s="103">
        <v>18517</v>
      </c>
      <c r="X916" s="103"/>
      <c r="Y916" s="135"/>
      <c r="Z916" s="114">
        <f>IF((DATEDIF(G916,Z$4,"m"))&gt;=120,120,(DATEDIF(G916,Z$4,"m")))</f>
        <v>26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3741.8376666666663</v>
      </c>
      <c r="U917" s="15">
        <f>T917-S917</f>
        <v>1583.0851666666663</v>
      </c>
      <c r="V917" s="135">
        <f>N917-T917</f>
        <v>13529.182333333334</v>
      </c>
      <c r="W917" s="103">
        <v>18517</v>
      </c>
      <c r="X917" s="103"/>
      <c r="Y917" s="135"/>
      <c r="Z917" s="114">
        <f>IF((DATEDIF(G917,Z$4,"m"))&gt;=120,120,(DATEDIF(G917,Z$4,"m")))</f>
        <v>26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14179.769499999999</v>
      </c>
      <c r="U918" s="113">
        <f>SUM(U915:U917)</f>
        <v>5999.133249999999</v>
      </c>
      <c r="V918" s="113">
        <f>SUM(V915:V917)</f>
        <v>51268.320500000002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2089.375</v>
      </c>
      <c r="U920" s="15">
        <f>T920-S920</f>
        <v>919.32500000000005</v>
      </c>
      <c r="V920" s="135">
        <f>N920-T920</f>
        <v>7940.625</v>
      </c>
      <c r="W920" s="103">
        <v>18561</v>
      </c>
      <c r="X920" s="103"/>
      <c r="Y920" s="135"/>
      <c r="Z920" s="114">
        <f>IF((DATEDIF(G920,Z$4,"m"))&gt;=120,120,(DATEDIF(G920,Z$4,"m")))</f>
        <v>25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1597.7083333333333</v>
      </c>
      <c r="U921" s="15">
        <f>T921-S921</f>
        <v>702.99166666666656</v>
      </c>
      <c r="V921" s="135">
        <f>N921-T921</f>
        <v>6072.291666666667</v>
      </c>
      <c r="W921" s="103">
        <v>18561</v>
      </c>
      <c r="X921" s="103"/>
      <c r="Y921" s="135"/>
      <c r="Z921" s="114">
        <f>IF((DATEDIF(G921,Z$4,"m"))&gt;=120,120,(DATEDIF(G921,Z$4,"m")))</f>
        <v>25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3687.083333333333</v>
      </c>
      <c r="U922" s="113">
        <f>SUM(U919:U921)</f>
        <v>1622.3166666666666</v>
      </c>
      <c r="V922" s="113">
        <f>SUM(V919:V921)</f>
        <v>14012.916666666668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154242.73422222224</v>
      </c>
      <c r="U924" s="115">
        <f>+U896+U900+U904+U913+U918+U922</f>
        <v>58662.326861111113</v>
      </c>
      <c r="V924" s="115">
        <f>+V896+V900+V904+V913+V918+V922</f>
        <v>424423.28377777786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67611.112023211535</v>
      </c>
      <c r="S926" s="294">
        <v>5641317.516877275</v>
      </c>
      <c r="T926" s="294">
        <f>+T924+T892</f>
        <v>6136433.3314616894</v>
      </c>
      <c r="U926" s="294">
        <f>+U924+U892</f>
        <v>495073.61337659752</v>
      </c>
      <c r="V926" s="294">
        <f>+V924+V892</f>
        <v>2386898.7526570279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978.50866666666661</v>
      </c>
      <c r="U928" s="15">
        <f>T928-S928</f>
        <v>489.25433333333331</v>
      </c>
      <c r="V928" s="135">
        <f>N928-T928</f>
        <v>4359.8113333333331</v>
      </c>
      <c r="W928" s="104" t="s">
        <v>2340</v>
      </c>
      <c r="X928" s="136"/>
      <c r="Y928" s="135"/>
      <c r="Z928" s="114">
        <f>IF((DATEDIF(G928,Z$4,"m"))&gt;=120,120,(DATEDIF(G928,Z$4,"m")))</f>
        <v>22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978.50866666666661</v>
      </c>
      <c r="U929" s="15">
        <f>T929-S929</f>
        <v>489.25433333333331</v>
      </c>
      <c r="V929" s="135">
        <f>N929-T929</f>
        <v>4359.8113333333331</v>
      </c>
      <c r="W929" s="104" t="s">
        <v>2340</v>
      </c>
      <c r="X929" s="136"/>
      <c r="Y929" s="135"/>
      <c r="Z929" s="114">
        <f>IF((DATEDIF(G929,Z$4,"m"))&gt;=120,120,(DATEDIF(G929,Z$4,"m")))</f>
        <v>22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1957.0173333333332</v>
      </c>
      <c r="U930" s="113">
        <f>SUM(U927:U929)</f>
        <v>978.50866666666661</v>
      </c>
      <c r="V930" s="113">
        <f>SUM(V927:V929)</f>
        <v>8719.6226666666662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3568.4919199999995</v>
      </c>
      <c r="U933" s="15">
        <f t="shared" ref="U933:U939" si="130">T933-S933</f>
        <v>1869.210053333333</v>
      </c>
      <c r="V933" s="135">
        <f t="shared" ref="V933:V939" si="131">N933-T933</f>
        <v>16823.890479999998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21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3568.4919199999995</v>
      </c>
      <c r="U934" s="15">
        <f t="shared" si="130"/>
        <v>1869.210053333333</v>
      </c>
      <c r="V934" s="135">
        <f t="shared" si="131"/>
        <v>16823.890479999998</v>
      </c>
      <c r="W934" s="104" t="s">
        <v>2344</v>
      </c>
      <c r="X934" s="136"/>
      <c r="Y934" s="135"/>
      <c r="Z934" s="114">
        <f t="shared" si="132"/>
        <v>21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3568.4919199999995</v>
      </c>
      <c r="U935" s="15">
        <f t="shared" si="130"/>
        <v>1869.210053333333</v>
      </c>
      <c r="V935" s="135">
        <f t="shared" si="131"/>
        <v>16823.890479999998</v>
      </c>
      <c r="W935" s="104" t="s">
        <v>2344</v>
      </c>
      <c r="X935" s="136"/>
      <c r="Y935" s="135"/>
      <c r="Z935" s="114">
        <f t="shared" si="132"/>
        <v>21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789.40872500000012</v>
      </c>
      <c r="U936" s="15">
        <f t="shared" si="130"/>
        <v>413.49980833333342</v>
      </c>
      <c r="V936" s="135">
        <f t="shared" si="131"/>
        <v>3722.4982749999999</v>
      </c>
      <c r="W936" s="104" t="s">
        <v>2344</v>
      </c>
      <c r="X936" s="136"/>
      <c r="Y936" s="135"/>
      <c r="Z936" s="114">
        <f t="shared" si="132"/>
        <v>21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934.03099999999995</v>
      </c>
      <c r="U937" s="15">
        <f t="shared" si="130"/>
        <v>489.25433333333331</v>
      </c>
      <c r="V937" s="135">
        <f t="shared" si="131"/>
        <v>4404.2889999999998</v>
      </c>
      <c r="W937" s="104" t="s">
        <v>2344</v>
      </c>
      <c r="X937" s="136"/>
      <c r="Y937" s="135"/>
      <c r="Z937" s="114">
        <f t="shared" si="132"/>
        <v>21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934.03099999999995</v>
      </c>
      <c r="U938" s="15">
        <f t="shared" si="130"/>
        <v>489.25433333333331</v>
      </c>
      <c r="V938" s="135">
        <f t="shared" si="131"/>
        <v>4404.2889999999998</v>
      </c>
      <c r="W938" s="104" t="s">
        <v>2344</v>
      </c>
      <c r="X938" s="136"/>
      <c r="Y938" s="135"/>
      <c r="Z938" s="114">
        <f t="shared" si="132"/>
        <v>21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934.03099999999995</v>
      </c>
      <c r="U939" s="15">
        <f t="shared" si="130"/>
        <v>489.25433333333331</v>
      </c>
      <c r="V939" s="135">
        <f t="shared" si="131"/>
        <v>4404.2889999999998</v>
      </c>
      <c r="W939" s="104" t="s">
        <v>2344</v>
      </c>
      <c r="X939" s="136"/>
      <c r="Y939" s="135"/>
      <c r="Z939" s="114">
        <f t="shared" si="132"/>
        <v>21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14296.977484999996</v>
      </c>
      <c r="U940" s="113">
        <f>SUM(U932:U939)</f>
        <v>7488.8929683333317</v>
      </c>
      <c r="V940" s="113">
        <f>SUM(V932:V939)</f>
        <v>67407.03671499998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1093.5373333333334</v>
      </c>
      <c r="U943" s="15">
        <f>T943-S943</f>
        <v>751.80691666666667</v>
      </c>
      <c r="V943" s="135">
        <f>N943-T943</f>
        <v>7108.992666666667</v>
      </c>
      <c r="W943" s="104" t="s">
        <v>2349</v>
      </c>
      <c r="X943" s="136"/>
      <c r="Y943" s="135"/>
      <c r="Z943" s="114">
        <f>IF((DATEDIF(G943,Z$4,"m"))&gt;=120,120,(DATEDIF(G943,Z$4,"m")))</f>
        <v>16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1093.5373333333334</v>
      </c>
      <c r="U944" s="113">
        <f>SUM(U943)</f>
        <v>751.80691666666667</v>
      </c>
      <c r="V944" s="113">
        <f>SUM(V943)</f>
        <v>7108.992666666667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2354.4868750000001</v>
      </c>
      <c r="U946" s="15">
        <f>T946-S946</f>
        <v>1726.6237083333335</v>
      </c>
      <c r="V946" s="135">
        <f>N946-T946</f>
        <v>16482.408125000002</v>
      </c>
      <c r="W946" s="104" t="s">
        <v>2354</v>
      </c>
      <c r="X946" s="136"/>
      <c r="Y946" s="135"/>
      <c r="Z946" s="114">
        <f>IF((DATEDIF(G946,Z$4,"m"))&gt;=120,120,(DATEDIF(G946,Z$4,"m")))</f>
        <v>15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2354.4868750000001</v>
      </c>
      <c r="U947" s="15">
        <f>T947-S947</f>
        <v>1726.6237083333335</v>
      </c>
      <c r="V947" s="135">
        <f>N947-T947</f>
        <v>16482.408125000002</v>
      </c>
      <c r="W947" s="104" t="s">
        <v>2354</v>
      </c>
      <c r="X947" s="136"/>
      <c r="Y947" s="135"/>
      <c r="Z947" s="114">
        <f>IF((DATEDIF(G947,Z$4,"m"))&gt;=120,120,(DATEDIF(G947,Z$4,"m")))</f>
        <v>15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4708.9737500000001</v>
      </c>
      <c r="U948" s="113">
        <f>SUM(U946:U947)</f>
        <v>3453.247416666667</v>
      </c>
      <c r="V948" s="113">
        <f>SUM(V946:V947)</f>
        <v>32964.816250000003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97" t="s">
        <v>797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53057.42</v>
      </c>
      <c r="U950" s="15">
        <f t="shared" ref="U950:U964" si="134">T950-S950</f>
        <v>48635.968333333331</v>
      </c>
      <c r="V950" s="135">
        <f>N950-T950</f>
        <v>477517.77999999997</v>
      </c>
      <c r="W950" s="104" t="s">
        <v>2359</v>
      </c>
      <c r="X950" s="136"/>
      <c r="Y950" s="135"/>
      <c r="Z950" s="114">
        <f>IF((DATEDIF(G950,Z$4,"m"))&gt;=120,120,(DATEDIF(G950,Z$4,"m")))</f>
        <v>12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97" t="s">
        <v>797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1849.9</v>
      </c>
      <c r="U951" s="15">
        <f t="shared" si="134"/>
        <v>1695.7416666666668</v>
      </c>
      <c r="V951" s="135">
        <f>N951-T951</f>
        <v>16650.099999999999</v>
      </c>
      <c r="W951" s="104" t="s">
        <v>2364</v>
      </c>
      <c r="X951" s="136"/>
      <c r="Y951" s="135"/>
      <c r="Z951" s="114">
        <f>IF((DATEDIF(G951,Z$4,"m"))&gt;=120,120,(DATEDIF(G951,Z$4,"m")))</f>
        <v>12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97" t="s">
        <v>797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19098.2</v>
      </c>
      <c r="U952" s="15">
        <f t="shared" si="134"/>
        <v>17506.683333333334</v>
      </c>
      <c r="V952" s="135">
        <f>N952-T952</f>
        <v>171884.79999999999</v>
      </c>
      <c r="W952" s="104" t="s">
        <v>2368</v>
      </c>
      <c r="X952" s="136"/>
      <c r="Y952" s="135"/>
      <c r="Z952" s="114">
        <f>IF((DATEDIF(G952,Z$4,"m"))&gt;=120,120,(DATEDIF(G952,Z$4,"m")))</f>
        <v>12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97" t="s">
        <v>797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19098.2</v>
      </c>
      <c r="U953" s="15">
        <f t="shared" si="134"/>
        <v>17506.683333333334</v>
      </c>
      <c r="V953" s="135">
        <f t="shared" ref="V953:V964" si="136">N953-T953</f>
        <v>171884.79999999999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12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97" t="s">
        <v>797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19098.2</v>
      </c>
      <c r="U954" s="15">
        <f t="shared" si="134"/>
        <v>17506.683333333334</v>
      </c>
      <c r="V954" s="135">
        <f t="shared" si="136"/>
        <v>171884.79999999999</v>
      </c>
      <c r="W954" s="104" t="s">
        <v>2368</v>
      </c>
      <c r="X954" s="136"/>
      <c r="Y954" s="135"/>
      <c r="Z954" s="114">
        <f t="shared" si="137"/>
        <v>12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97" t="s">
        <v>797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682.05200000000002</v>
      </c>
      <c r="U955" s="15">
        <f t="shared" si="134"/>
        <v>625.21433333333334</v>
      </c>
      <c r="V955" s="135">
        <f t="shared" si="136"/>
        <v>6139.4680000000008</v>
      </c>
      <c r="W955" s="104" t="s">
        <v>2368</v>
      </c>
      <c r="X955" s="136"/>
      <c r="Y955" s="135"/>
      <c r="Z955" s="114">
        <f t="shared" si="137"/>
        <v>12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97" t="s">
        <v>797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682.05200000000002</v>
      </c>
      <c r="U956" s="15">
        <f t="shared" si="134"/>
        <v>625.21433333333334</v>
      </c>
      <c r="V956" s="135">
        <f t="shared" si="136"/>
        <v>6139.4680000000008</v>
      </c>
      <c r="W956" s="104" t="s">
        <v>2368</v>
      </c>
      <c r="X956" s="136"/>
      <c r="Y956" s="135"/>
      <c r="Z956" s="114">
        <f t="shared" si="137"/>
        <v>12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97" t="s">
        <v>797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838.4620000000001</v>
      </c>
      <c r="U957" s="15">
        <f t="shared" si="134"/>
        <v>768.59016666666673</v>
      </c>
      <c r="V957" s="135">
        <f t="shared" si="136"/>
        <v>7547.1580000000004</v>
      </c>
      <c r="W957" s="104" t="s">
        <v>2368</v>
      </c>
      <c r="X957" s="136"/>
      <c r="Y957" s="135"/>
      <c r="Z957" s="114">
        <f t="shared" si="137"/>
        <v>12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97" t="s">
        <v>797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838.4620000000001</v>
      </c>
      <c r="U958" s="15">
        <f t="shared" si="134"/>
        <v>768.59016666666673</v>
      </c>
      <c r="V958" s="135">
        <f t="shared" si="136"/>
        <v>7547.1580000000004</v>
      </c>
      <c r="W958" s="104" t="s">
        <v>2368</v>
      </c>
      <c r="X958" s="136"/>
      <c r="Y958" s="135"/>
      <c r="Z958" s="114">
        <f t="shared" si="137"/>
        <v>12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97" t="s">
        <v>797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838.4620000000001</v>
      </c>
      <c r="U959" s="15">
        <f t="shared" si="134"/>
        <v>768.59016666666673</v>
      </c>
      <c r="V959" s="135">
        <f t="shared" si="136"/>
        <v>7547.1580000000004</v>
      </c>
      <c r="W959" s="104" t="s">
        <v>2368</v>
      </c>
      <c r="X959" s="136"/>
      <c r="Y959" s="135"/>
      <c r="Z959" s="114">
        <f t="shared" si="137"/>
        <v>12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97" t="s">
        <v>797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838.4620000000001</v>
      </c>
      <c r="U960" s="15">
        <f t="shared" si="134"/>
        <v>768.59016666666673</v>
      </c>
      <c r="V960" s="135">
        <f t="shared" si="136"/>
        <v>7547.1580000000004</v>
      </c>
      <c r="W960" s="104" t="s">
        <v>2368</v>
      </c>
      <c r="X960" s="136"/>
      <c r="Y960" s="135"/>
      <c r="Z960" s="114">
        <f t="shared" si="137"/>
        <v>12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97" t="s">
        <v>797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838.4620000000001</v>
      </c>
      <c r="U961" s="15">
        <f t="shared" si="134"/>
        <v>768.59016666666673</v>
      </c>
      <c r="V961" s="135">
        <f t="shared" si="136"/>
        <v>7547.1580000000004</v>
      </c>
      <c r="W961" s="104" t="s">
        <v>2368</v>
      </c>
      <c r="X961" s="136"/>
      <c r="Y961" s="135"/>
      <c r="Z961" s="114">
        <f t="shared" si="137"/>
        <v>12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97" t="s">
        <v>797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838.4620000000001</v>
      </c>
      <c r="U962" s="15">
        <f t="shared" si="134"/>
        <v>768.59016666666673</v>
      </c>
      <c r="V962" s="135">
        <f t="shared" si="136"/>
        <v>7547.1580000000004</v>
      </c>
      <c r="W962" s="104" t="s">
        <v>2368</v>
      </c>
      <c r="X962" s="136"/>
      <c r="Y962" s="135"/>
      <c r="Z962" s="114">
        <f t="shared" si="137"/>
        <v>12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97" t="s">
        <v>797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838.4620000000001</v>
      </c>
      <c r="U963" s="15">
        <f t="shared" si="134"/>
        <v>768.59016666666673</v>
      </c>
      <c r="V963" s="135">
        <f t="shared" si="136"/>
        <v>7547.1580000000004</v>
      </c>
      <c r="W963" s="104" t="s">
        <v>2368</v>
      </c>
      <c r="X963" s="136"/>
      <c r="Y963" s="135"/>
      <c r="Z963" s="114">
        <f t="shared" si="137"/>
        <v>12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97" t="s">
        <v>797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838.4620000000001</v>
      </c>
      <c r="U964" s="15">
        <f t="shared" si="134"/>
        <v>768.59016666666673</v>
      </c>
      <c r="V964" s="135">
        <f t="shared" si="136"/>
        <v>7547.1580000000004</v>
      </c>
      <c r="W964" s="104" t="s">
        <v>2368</v>
      </c>
      <c r="X964" s="136"/>
      <c r="Y964" s="135"/>
      <c r="Z964" s="114">
        <f t="shared" si="137"/>
        <v>12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120273.71999999999</v>
      </c>
      <c r="U965" s="109">
        <f>SUM(U950:U964)</f>
        <v>110250.90999999997</v>
      </c>
      <c r="V965" s="109">
        <f>SUM(V950:V964)</f>
        <v>1082478.4800000004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142330.22590166665</v>
      </c>
      <c r="U967" s="115">
        <f>+U930+U940+U944+U948+U965</f>
        <v>122923.36596833331</v>
      </c>
      <c r="V967" s="115">
        <f>+V930+V940+V944+V948+V965</f>
        <v>1198678.9482983337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/>
      <c r="P969" s="294"/>
      <c r="Q969" s="297"/>
      <c r="R969" s="294">
        <f>+R967+R926</f>
        <v>78785.963474878197</v>
      </c>
      <c r="S969" s="294">
        <f t="shared" ref="S969:U969" si="138">+S967+S926</f>
        <v>5660724.3768106084</v>
      </c>
      <c r="T969" s="294">
        <f t="shared" si="138"/>
        <v>6278763.5573633565</v>
      </c>
      <c r="U969" s="294">
        <f t="shared" si="138"/>
        <v>617996.97934493085</v>
      </c>
      <c r="V969" s="294">
        <f>+V967+V926</f>
        <v>3585577.7009553616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2819</v>
      </c>
      <c r="C971" s="97" t="s">
        <v>2820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2821</v>
      </c>
      <c r="M971" s="97" t="s">
        <v>797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1707.5113333333331</v>
      </c>
      <c r="U971" s="15">
        <f t="shared" ref="U971:U973" si="141">T971-S971</f>
        <v>1707.5113333333331</v>
      </c>
      <c r="V971" s="135">
        <f t="shared" ref="V971:V972" si="142">N971-T971</f>
        <v>23906.158666666666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8</v>
      </c>
    </row>
    <row r="972" spans="1:26" s="103" customFormat="1" ht="14.25" customHeight="1" x14ac:dyDescent="0.25">
      <c r="A972" s="97"/>
      <c r="B972" s="98" t="s">
        <v>2819</v>
      </c>
      <c r="C972" s="97" t="s">
        <v>2820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2821</v>
      </c>
      <c r="M972" s="97" t="s">
        <v>797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1707.5113333333331</v>
      </c>
      <c r="U972" s="15">
        <f t="shared" si="141"/>
        <v>1707.5113333333331</v>
      </c>
      <c r="V972" s="135">
        <f t="shared" si="142"/>
        <v>23906.158666666666</v>
      </c>
      <c r="W972" s="104" t="s">
        <v>2368</v>
      </c>
      <c r="X972" s="136"/>
      <c r="Y972" s="135"/>
      <c r="Z972" s="114">
        <f t="shared" si="143"/>
        <v>8</v>
      </c>
    </row>
    <row r="973" spans="1:26" s="103" customFormat="1" ht="14.25" customHeight="1" x14ac:dyDescent="0.25">
      <c r="A973" s="97"/>
      <c r="B973" s="98" t="s">
        <v>2822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2823</v>
      </c>
      <c r="M973" s="97" t="s">
        <v>797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2755.469333333333</v>
      </c>
      <c r="U973" s="15">
        <f t="shared" si="141"/>
        <v>2755.469333333333</v>
      </c>
      <c r="V973" s="135">
        <f>N973-T973</f>
        <v>38577.570666666667</v>
      </c>
      <c r="W973" s="104" t="s">
        <v>2368</v>
      </c>
      <c r="X973" s="136"/>
      <c r="Y973" s="135"/>
      <c r="Z973" s="114">
        <f t="shared" si="143"/>
        <v>8</v>
      </c>
    </row>
    <row r="974" spans="1:26" x14ac:dyDescent="0.25">
      <c r="B974" s="105" t="s">
        <v>2818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6170.4919999999993</v>
      </c>
      <c r="U974" s="109">
        <f t="shared" si="144"/>
        <v>6170.4919999999993</v>
      </c>
      <c r="V974" s="109">
        <f t="shared" si="144"/>
        <v>86389.888000000006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2887</v>
      </c>
      <c r="C976" s="97"/>
      <c r="D976" s="97"/>
      <c r="E976" s="97" t="s">
        <v>2890</v>
      </c>
      <c r="F976" s="97" t="s">
        <v>2888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2889</v>
      </c>
      <c r="M976" s="97" t="s">
        <v>797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0</v>
      </c>
      <c r="T976" s="313">
        <f>Z976*R976</f>
        <v>363.54583333333329</v>
      </c>
      <c r="U976" s="15">
        <f t="shared" ref="U976" si="145">T976-S976</f>
        <v>363.54583333333329</v>
      </c>
      <c r="V976" s="135">
        <f>N976-T976</f>
        <v>8362.5541666666668</v>
      </c>
      <c r="W976" s="104"/>
      <c r="X976" s="136"/>
      <c r="Y976" s="135"/>
      <c r="Z976" s="114">
        <f t="shared" ref="Z976" si="146">IF((DATEDIF(G976,Z$4,"m"))&gt;=120,120,(DATEDIF(G976,Z$4,"m")))</f>
        <v>5</v>
      </c>
    </row>
    <row r="977" spans="1:26" x14ac:dyDescent="0.25">
      <c r="B977" s="105" t="s">
        <v>2886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363.54583333333329</v>
      </c>
      <c r="U977" s="109">
        <f t="shared" si="147"/>
        <v>363.54583333333329</v>
      </c>
      <c r="V977" s="109">
        <f t="shared" si="147"/>
        <v>8362.5541666666668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2897</v>
      </c>
      <c r="C979" s="97" t="s">
        <v>2899</v>
      </c>
      <c r="D979" s="97"/>
      <c r="E979" s="97"/>
      <c r="F979" s="97" t="s">
        <v>2888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57</v>
      </c>
      <c r="L979" s="40" t="s">
        <v>2898</v>
      </c>
      <c r="M979" s="97" t="s">
        <v>797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0</v>
      </c>
      <c r="T979" s="313">
        <f t="shared" ref="T979:T980" si="148">Z979*R979</f>
        <v>73.13333333333334</v>
      </c>
      <c r="U979" s="15">
        <f t="shared" ref="U979:U980" si="149">T979-S979</f>
        <v>73.13333333333334</v>
      </c>
      <c r="V979" s="135">
        <f t="shared" ref="V979" si="150">N979-T979</f>
        <v>2121.8666666666668</v>
      </c>
      <c r="W979" s="104" t="s">
        <v>2368</v>
      </c>
      <c r="X979" s="136"/>
      <c r="Y979" s="135"/>
      <c r="Z979" s="114">
        <f t="shared" ref="Z979:Z980" si="151">IF((DATEDIF(G979,Z$4,"m"))&gt;=120,120,(DATEDIF(G979,Z$4,"m")))</f>
        <v>4</v>
      </c>
    </row>
    <row r="980" spans="1:26" s="103" customFormat="1" ht="14.25" customHeight="1" x14ac:dyDescent="0.25">
      <c r="A980" s="97"/>
      <c r="B980" s="98" t="s">
        <v>2897</v>
      </c>
      <c r="C980" s="97" t="s">
        <v>2899</v>
      </c>
      <c r="D980" s="97"/>
      <c r="E980" s="97"/>
      <c r="F980" s="97" t="s">
        <v>2888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57</v>
      </c>
      <c r="L980" s="40" t="s">
        <v>2898</v>
      </c>
      <c r="M980" s="97" t="s">
        <v>797</v>
      </c>
      <c r="N980" s="30">
        <v>2195</v>
      </c>
      <c r="O980" s="102"/>
      <c r="Q980" s="103">
        <v>10</v>
      </c>
      <c r="R980" s="30">
        <f t="shared" ref="R980" si="152">(((N980)-1)/10)/12</f>
        <v>18.283333333333335</v>
      </c>
      <c r="S980" s="5">
        <v>0</v>
      </c>
      <c r="T980" s="313">
        <f t="shared" si="148"/>
        <v>73.13333333333334</v>
      </c>
      <c r="U980" s="15">
        <f t="shared" si="149"/>
        <v>73.13333333333334</v>
      </c>
      <c r="V980" s="135">
        <f>N980-T980</f>
        <v>2121.8666666666668</v>
      </c>
      <c r="W980" s="104" t="s">
        <v>2368</v>
      </c>
      <c r="X980" s="136"/>
      <c r="Y980" s="135"/>
      <c r="Z980" s="114">
        <f t="shared" si="151"/>
        <v>4</v>
      </c>
    </row>
    <row r="981" spans="1:26" x14ac:dyDescent="0.25">
      <c r="B981" s="105" t="s">
        <v>2900</v>
      </c>
      <c r="N981" s="109">
        <f>SUBTOTAL(9,N979:N980)</f>
        <v>4390</v>
      </c>
      <c r="O981" s="109">
        <f t="shared" ref="O981:V981" si="153">SUBTOTAL(9,O979:O980)</f>
        <v>0</v>
      </c>
      <c r="P981" s="109">
        <f t="shared" si="153"/>
        <v>0</v>
      </c>
      <c r="Q981" s="109"/>
      <c r="R981" s="109">
        <f t="shared" si="153"/>
        <v>36.56666666666667</v>
      </c>
      <c r="S981" s="109">
        <f t="shared" si="153"/>
        <v>0</v>
      </c>
      <c r="T981" s="109">
        <f t="shared" si="153"/>
        <v>146.26666666666668</v>
      </c>
      <c r="U981" s="109">
        <f>SUBTOTAL(9,U979:U980)</f>
        <v>146.26666666666668</v>
      </c>
      <c r="V981" s="109">
        <f t="shared" si="153"/>
        <v>4243.7333333333336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2901</v>
      </c>
      <c r="C983" s="97"/>
      <c r="D983" s="97"/>
      <c r="E983" s="97"/>
      <c r="F983" s="97" t="s">
        <v>2338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57</v>
      </c>
      <c r="L983" s="40" t="s">
        <v>2905</v>
      </c>
      <c r="M983" s="97" t="s">
        <v>797</v>
      </c>
      <c r="N983" s="30">
        <v>4904.08</v>
      </c>
      <c r="O983" s="102"/>
      <c r="Q983" s="103">
        <v>10</v>
      </c>
      <c r="R983" s="30">
        <f t="shared" ref="R983" si="154">(((N983)-1)/10)/12</f>
        <v>40.859000000000002</v>
      </c>
      <c r="S983" s="5">
        <v>0</v>
      </c>
      <c r="T983" s="313">
        <f t="shared" ref="T983:T984" si="155">Z983*R983</f>
        <v>122.577</v>
      </c>
      <c r="U983" s="15">
        <f t="shared" ref="U983:U984" si="156">T983-S983</f>
        <v>122.577</v>
      </c>
      <c r="V983" s="135">
        <f t="shared" ref="V983" si="157">N983-T983</f>
        <v>4781.5029999999997</v>
      </c>
      <c r="W983" s="104" t="s">
        <v>2368</v>
      </c>
      <c r="X983" s="136"/>
      <c r="Y983" s="135"/>
      <c r="Z983" s="114">
        <f t="shared" ref="Z983:Z984" si="158">IF((DATEDIF(G983,Z$4,"m"))&gt;=120,120,(DATEDIF(G983,Z$4,"m")))</f>
        <v>3</v>
      </c>
    </row>
    <row r="984" spans="1:26" s="103" customFormat="1" ht="14.25" customHeight="1" x14ac:dyDescent="0.25">
      <c r="A984" s="97"/>
      <c r="B984" s="98" t="s">
        <v>2901</v>
      </c>
      <c r="C984" s="97"/>
      <c r="D984" s="97"/>
      <c r="E984" s="97"/>
      <c r="F984" s="97" t="s">
        <v>2338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57</v>
      </c>
      <c r="L984" s="40" t="s">
        <v>2905</v>
      </c>
      <c r="M984" s="97" t="s">
        <v>797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0</v>
      </c>
      <c r="T984" s="313">
        <f t="shared" si="155"/>
        <v>122.577</v>
      </c>
      <c r="U984" s="15">
        <f t="shared" si="156"/>
        <v>122.577</v>
      </c>
      <c r="V984" s="135">
        <f>N984-T984</f>
        <v>4781.5029999999997</v>
      </c>
      <c r="W984" s="104" t="s">
        <v>2368</v>
      </c>
      <c r="X984" s="136"/>
      <c r="Y984" s="135"/>
      <c r="Z984" s="114">
        <f t="shared" si="158"/>
        <v>3</v>
      </c>
    </row>
    <row r="985" spans="1:26" x14ac:dyDescent="0.25">
      <c r="B985" s="98" t="s">
        <v>2902</v>
      </c>
      <c r="F985" s="97" t="s">
        <v>2338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57</v>
      </c>
      <c r="L985" s="40" t="s">
        <v>2905</v>
      </c>
      <c r="M985" s="97" t="s">
        <v>797</v>
      </c>
      <c r="N985" s="30">
        <v>1803.04</v>
      </c>
      <c r="O985" s="102"/>
      <c r="P985" s="103"/>
      <c r="Q985" s="103">
        <v>10</v>
      </c>
      <c r="R985" s="30">
        <f t="shared" ref="R985:R988" si="159">(((N985)-1)/10)/12</f>
        <v>15.017000000000001</v>
      </c>
      <c r="S985" s="5">
        <v>0</v>
      </c>
      <c r="T985" s="313">
        <f t="shared" ref="T985:T988" si="160">Z985*R985</f>
        <v>45.051000000000002</v>
      </c>
      <c r="U985" s="15">
        <f t="shared" ref="U985:U988" si="161">T985-S985</f>
        <v>45.051000000000002</v>
      </c>
      <c r="V985" s="135">
        <f t="shared" ref="V985:V988" si="162">N985-T985</f>
        <v>1757.989</v>
      </c>
      <c r="W985" s="104" t="s">
        <v>2368</v>
      </c>
      <c r="X985" s="136"/>
      <c r="Y985" s="135"/>
      <c r="Z985" s="114">
        <f t="shared" ref="Z985:Z988" si="163">IF((DATEDIF(G985,Z$4,"m"))&gt;=120,120,(DATEDIF(G985,Z$4,"m")))</f>
        <v>3</v>
      </c>
    </row>
    <row r="986" spans="1:26" x14ac:dyDescent="0.25">
      <c r="B986" s="98" t="s">
        <v>2902</v>
      </c>
      <c r="F986" s="97" t="s">
        <v>2338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57</v>
      </c>
      <c r="L986" s="40" t="s">
        <v>2905</v>
      </c>
      <c r="M986" s="97" t="s">
        <v>797</v>
      </c>
      <c r="N986" s="30">
        <v>1803.04</v>
      </c>
      <c r="O986" s="102"/>
      <c r="P986" s="103"/>
      <c r="Q986" s="103">
        <v>10</v>
      </c>
      <c r="R986" s="30">
        <f t="shared" si="159"/>
        <v>15.017000000000001</v>
      </c>
      <c r="S986" s="5">
        <v>0</v>
      </c>
      <c r="T986" s="313">
        <f t="shared" si="160"/>
        <v>45.051000000000002</v>
      </c>
      <c r="U986" s="15">
        <f t="shared" si="161"/>
        <v>45.051000000000002</v>
      </c>
      <c r="V986" s="135">
        <f t="shared" si="162"/>
        <v>1757.989</v>
      </c>
      <c r="W986" s="104" t="s">
        <v>2368</v>
      </c>
      <c r="X986" s="136"/>
      <c r="Y986" s="135"/>
      <c r="Z986" s="114">
        <f t="shared" si="163"/>
        <v>3</v>
      </c>
    </row>
    <row r="987" spans="1:26" x14ac:dyDescent="0.25">
      <c r="B987" s="98" t="s">
        <v>2903</v>
      </c>
      <c r="F987" s="97" t="s">
        <v>2338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57</v>
      </c>
      <c r="L987" s="40" t="s">
        <v>2905</v>
      </c>
      <c r="M987" s="97" t="s">
        <v>797</v>
      </c>
      <c r="N987" s="30">
        <v>4328.24</v>
      </c>
      <c r="O987" s="102"/>
      <c r="P987" s="103"/>
      <c r="Q987" s="103">
        <v>10</v>
      </c>
      <c r="R987" s="30">
        <f t="shared" si="159"/>
        <v>36.060333333333332</v>
      </c>
      <c r="S987" s="5">
        <v>0</v>
      </c>
      <c r="T987" s="313">
        <f t="shared" si="160"/>
        <v>108.181</v>
      </c>
      <c r="U987" s="15">
        <f t="shared" si="161"/>
        <v>108.181</v>
      </c>
      <c r="V987" s="135">
        <f t="shared" si="162"/>
        <v>4220.0590000000002</v>
      </c>
      <c r="W987" s="104" t="s">
        <v>2368</v>
      </c>
      <c r="X987" s="136"/>
      <c r="Y987" s="135"/>
      <c r="Z987" s="114">
        <f t="shared" si="163"/>
        <v>3</v>
      </c>
    </row>
    <row r="988" spans="1:26" x14ac:dyDescent="0.25">
      <c r="B988" s="98" t="s">
        <v>2903</v>
      </c>
      <c r="F988" s="97" t="s">
        <v>2338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57</v>
      </c>
      <c r="L988" s="40" t="s">
        <v>2905</v>
      </c>
      <c r="M988" s="97" t="s">
        <v>797</v>
      </c>
      <c r="N988" s="30">
        <v>4328.24</v>
      </c>
      <c r="O988" s="102"/>
      <c r="P988" s="103"/>
      <c r="Q988" s="103">
        <v>10</v>
      </c>
      <c r="R988" s="30">
        <f t="shared" si="159"/>
        <v>36.060333333333332</v>
      </c>
      <c r="S988" s="5">
        <v>0</v>
      </c>
      <c r="T988" s="313">
        <f t="shared" si="160"/>
        <v>108.181</v>
      </c>
      <c r="U988" s="15">
        <f t="shared" si="161"/>
        <v>108.181</v>
      </c>
      <c r="V988" s="135">
        <f t="shared" si="162"/>
        <v>4220.0590000000002</v>
      </c>
      <c r="W988" s="104" t="s">
        <v>2368</v>
      </c>
      <c r="X988" s="136"/>
      <c r="Y988" s="135"/>
      <c r="Z988" s="114">
        <f t="shared" si="163"/>
        <v>3</v>
      </c>
    </row>
    <row r="989" spans="1:26" x14ac:dyDescent="0.25">
      <c r="B989" s="105" t="s">
        <v>2904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f t="shared" ref="S989:V989" si="164">SUBTOTAL(9,S983:S988)</f>
        <v>0</v>
      </c>
      <c r="T989" s="109">
        <f t="shared" si="164"/>
        <v>551.61799999999994</v>
      </c>
      <c r="U989" s="109">
        <f t="shared" si="164"/>
        <v>551.61799999999994</v>
      </c>
      <c r="V989" s="109">
        <f t="shared" si="164"/>
        <v>21519.101999999999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2906</v>
      </c>
      <c r="C991" s="97" t="s">
        <v>2907</v>
      </c>
      <c r="D991" s="97"/>
      <c r="E991" s="97"/>
      <c r="F991" s="97" t="s">
        <v>2908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57</v>
      </c>
      <c r="L991" s="40" t="s">
        <v>2909</v>
      </c>
      <c r="M991" s="97" t="s">
        <v>797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0</v>
      </c>
      <c r="T991" s="313">
        <f>Z991*R991</f>
        <v>216.56666666666669</v>
      </c>
      <c r="U991" s="15">
        <f t="shared" ref="U991" si="165">T991-S991</f>
        <v>216.56666666666669</v>
      </c>
      <c r="V991" s="135">
        <f>N991-T991</f>
        <v>12778.433333333332</v>
      </c>
      <c r="W991" s="104"/>
      <c r="X991" s="136"/>
      <c r="Y991" s="135"/>
      <c r="Z991" s="114">
        <f t="shared" ref="Z991" si="166">IF((DATEDIF(G991,Z$4,"m"))&gt;=120,120,(DATEDIF(G991,Z$4,"m")))</f>
        <v>2</v>
      </c>
    </row>
    <row r="992" spans="1:26" x14ac:dyDescent="0.25">
      <c r="B992" s="105" t="s">
        <v>2910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f t="shared" ref="S992:V992" si="167">SUM(S991)</f>
        <v>0</v>
      </c>
      <c r="T992" s="109">
        <f t="shared" si="167"/>
        <v>216.56666666666669</v>
      </c>
      <c r="U992" s="109">
        <f t="shared" si="167"/>
        <v>216.56666666666669</v>
      </c>
      <c r="V992" s="109">
        <f t="shared" si="167"/>
        <v>12778.433333333332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2914</v>
      </c>
      <c r="C994" s="97"/>
      <c r="D994" s="97"/>
      <c r="E994" s="97"/>
      <c r="F994" s="97" t="s">
        <v>2338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57</v>
      </c>
      <c r="L994" s="40" t="s">
        <v>2919</v>
      </c>
      <c r="M994" s="97" t="s">
        <v>797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0</v>
      </c>
      <c r="T994" s="313">
        <f t="shared" ref="T994:T998" si="168">Z994*R994</f>
        <v>44.044999999999995</v>
      </c>
      <c r="U994" s="15">
        <f t="shared" ref="U994:U998" si="169">T994-S994</f>
        <v>44.044999999999995</v>
      </c>
      <c r="V994" s="135">
        <f>N994-T994</f>
        <v>5242.3549999999996</v>
      </c>
      <c r="W994" s="104" t="s">
        <v>2368</v>
      </c>
      <c r="X994" s="136"/>
      <c r="Y994" s="135"/>
      <c r="Z994" s="114">
        <f t="shared" ref="Z994:Z998" si="170">IF((DATEDIF(G994,Z$4,"m"))&gt;=120,120,(DATEDIF(G994,Z$4,"m")))</f>
        <v>1</v>
      </c>
    </row>
    <row r="995" spans="1:26" x14ac:dyDescent="0.25">
      <c r="B995" s="98" t="s">
        <v>2915</v>
      </c>
      <c r="F995" s="97" t="s">
        <v>2338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57</v>
      </c>
      <c r="L995" s="40" t="s">
        <v>2919</v>
      </c>
      <c r="M995" s="97" t="s">
        <v>797</v>
      </c>
      <c r="N995" s="30">
        <v>8024</v>
      </c>
      <c r="O995" s="102"/>
      <c r="P995" s="103"/>
      <c r="Q995" s="103">
        <v>10</v>
      </c>
      <c r="R995" s="30">
        <f t="shared" ref="R995:R998" si="171">(((N995)-1)/10)/12</f>
        <v>66.858333333333334</v>
      </c>
      <c r="S995" s="5">
        <v>0</v>
      </c>
      <c r="T995" s="313">
        <f t="shared" si="168"/>
        <v>66.858333333333334</v>
      </c>
      <c r="U995" s="15">
        <f t="shared" si="169"/>
        <v>66.858333333333334</v>
      </c>
      <c r="V995" s="135">
        <f t="shared" ref="V995:V998" si="172">N995-T995</f>
        <v>7957.1416666666664</v>
      </c>
      <c r="W995" s="104" t="s">
        <v>2368</v>
      </c>
      <c r="X995" s="136"/>
      <c r="Y995" s="135"/>
      <c r="Z995" s="114">
        <f t="shared" si="170"/>
        <v>1</v>
      </c>
    </row>
    <row r="996" spans="1:26" x14ac:dyDescent="0.25">
      <c r="B996" s="98" t="s">
        <v>2916</v>
      </c>
      <c r="F996" s="97" t="s">
        <v>2338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57</v>
      </c>
      <c r="L996" s="40" t="s">
        <v>2919</v>
      </c>
      <c r="M996" s="97" t="s">
        <v>797</v>
      </c>
      <c r="N996" s="30">
        <v>3672.16</v>
      </c>
      <c r="O996" s="102"/>
      <c r="P996" s="103"/>
      <c r="Q996" s="103">
        <v>10</v>
      </c>
      <c r="R996" s="30">
        <f t="shared" si="171"/>
        <v>30.593</v>
      </c>
      <c r="S996" s="5">
        <v>0</v>
      </c>
      <c r="T996" s="313">
        <f t="shared" si="168"/>
        <v>30.593</v>
      </c>
      <c r="U996" s="15">
        <f t="shared" si="169"/>
        <v>30.593</v>
      </c>
      <c r="V996" s="135">
        <f t="shared" si="172"/>
        <v>3641.567</v>
      </c>
      <c r="W996" s="104" t="s">
        <v>2368</v>
      </c>
      <c r="X996" s="136"/>
      <c r="Y996" s="135"/>
      <c r="Z996" s="114">
        <f t="shared" si="170"/>
        <v>1</v>
      </c>
    </row>
    <row r="997" spans="1:26" x14ac:dyDescent="0.25">
      <c r="B997" s="98" t="s">
        <v>2917</v>
      </c>
      <c r="F997" s="97" t="s">
        <v>2338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57</v>
      </c>
      <c r="L997" s="40" t="s">
        <v>2919</v>
      </c>
      <c r="M997" s="97" t="s">
        <v>797</v>
      </c>
      <c r="N997" s="30">
        <v>11172.24</v>
      </c>
      <c r="O997" s="102"/>
      <c r="P997" s="103"/>
      <c r="Q997" s="103">
        <v>10</v>
      </c>
      <c r="R997" s="30">
        <f t="shared" si="171"/>
        <v>93.093666666666664</v>
      </c>
      <c r="S997" s="5">
        <v>0</v>
      </c>
      <c r="T997" s="313">
        <f t="shared" si="168"/>
        <v>93.093666666666664</v>
      </c>
      <c r="U997" s="15">
        <f t="shared" si="169"/>
        <v>93.093666666666664</v>
      </c>
      <c r="V997" s="135">
        <f t="shared" si="172"/>
        <v>11079.146333333332</v>
      </c>
      <c r="W997" s="104" t="s">
        <v>2368</v>
      </c>
      <c r="X997" s="136"/>
      <c r="Y997" s="135"/>
      <c r="Z997" s="114">
        <f t="shared" si="170"/>
        <v>1</v>
      </c>
    </row>
    <row r="998" spans="1:26" x14ac:dyDescent="0.25">
      <c r="B998" s="98" t="s">
        <v>2918</v>
      </c>
      <c r="F998" s="97" t="s">
        <v>2338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57</v>
      </c>
      <c r="L998" s="40" t="s">
        <v>2919</v>
      </c>
      <c r="M998" s="97" t="s">
        <v>797</v>
      </c>
      <c r="N998" s="30">
        <v>4177.2</v>
      </c>
      <c r="O998" s="102"/>
      <c r="P998" s="103"/>
      <c r="Q998" s="103">
        <v>10</v>
      </c>
      <c r="R998" s="30">
        <f t="shared" si="171"/>
        <v>34.801666666666669</v>
      </c>
      <c r="S998" s="5">
        <v>0</v>
      </c>
      <c r="T998" s="313">
        <f t="shared" si="168"/>
        <v>34.801666666666669</v>
      </c>
      <c r="U998" s="15">
        <f t="shared" si="169"/>
        <v>34.801666666666669</v>
      </c>
      <c r="V998" s="135">
        <f t="shared" si="172"/>
        <v>4142.3983333333335</v>
      </c>
      <c r="W998" s="104" t="s">
        <v>2368</v>
      </c>
      <c r="X998" s="136"/>
      <c r="Y998" s="135"/>
      <c r="Z998" s="114">
        <f t="shared" si="170"/>
        <v>1</v>
      </c>
    </row>
    <row r="999" spans="1:26" x14ac:dyDescent="0.25">
      <c r="B999" s="105" t="s">
        <v>2913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f>SUBTOTAL(9,S994:S998)</f>
        <v>0</v>
      </c>
      <c r="T999" s="109">
        <f>SUBTOTAL(9,T994:T998)</f>
        <v>269.39166666666665</v>
      </c>
      <c r="U999" s="109">
        <f>SUBTOTAL(9,U994:U998)</f>
        <v>269.39166666666665</v>
      </c>
      <c r="V999" s="109">
        <f>SUBTOTAL(9,V994:V998)</f>
        <v>32062.608333333334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2920</v>
      </c>
      <c r="C1001" s="97"/>
      <c r="D1001" s="97"/>
      <c r="E1001" s="97"/>
      <c r="F1001" s="97" t="s">
        <v>2338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57</v>
      </c>
      <c r="L1001" s="40" t="s">
        <v>2922</v>
      </c>
      <c r="M1001" s="97" t="s">
        <v>797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0</v>
      </c>
      <c r="T1001" s="313">
        <f>Z1001*R1001</f>
        <v>0</v>
      </c>
      <c r="U1001" s="15">
        <f t="shared" ref="U1001" si="173">T1001-S1001</f>
        <v>0</v>
      </c>
      <c r="V1001" s="135">
        <f>N1001-T1001</f>
        <v>1840.8</v>
      </c>
      <c r="W1001" s="104"/>
      <c r="X1001" s="136"/>
      <c r="Y1001" s="135"/>
      <c r="Z1001" s="114">
        <f t="shared" ref="Z1001" si="174">IF((DATEDIF(G1001,Z$4,"m"))&gt;=120,120,(DATEDIF(G1001,Z$4,"m")))</f>
        <v>0</v>
      </c>
    </row>
    <row r="1002" spans="1:26" x14ac:dyDescent="0.25">
      <c r="B1002" s="105" t="s">
        <v>2921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f t="shared" ref="S1002:V1002" si="175">SUM(S1001)</f>
        <v>0</v>
      </c>
      <c r="T1002" s="109">
        <f t="shared" si="175"/>
        <v>0</v>
      </c>
      <c r="U1002" s="109">
        <f t="shared" si="175"/>
        <v>0</v>
      </c>
      <c r="V1002" s="109">
        <f t="shared" si="175"/>
        <v>1840.8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B1004" s="105"/>
      <c r="N1004" s="297"/>
      <c r="O1004" s="297"/>
      <c r="P1004" s="297"/>
      <c r="Q1004" s="297"/>
      <c r="R1004" s="297"/>
      <c r="S1004" s="297"/>
      <c r="T1004" s="297"/>
      <c r="U1004" s="297"/>
      <c r="V1004" s="297"/>
      <c r="Z1004" s="114"/>
    </row>
    <row r="1005" spans="1:26" x14ac:dyDescent="0.25">
      <c r="B1005" s="105"/>
      <c r="M1005" s="303"/>
      <c r="N1005" s="297"/>
      <c r="O1005" s="102"/>
      <c r="P1005" s="103"/>
      <c r="Q1005" s="282"/>
      <c r="R1005" s="298"/>
      <c r="S1005" s="298"/>
      <c r="T1005" s="298"/>
      <c r="U1005" s="298"/>
      <c r="V1005" s="298"/>
      <c r="Z1005" s="114"/>
    </row>
    <row r="1006" spans="1:26" x14ac:dyDescent="0.25">
      <c r="A1006" s="105" t="s">
        <v>2758</v>
      </c>
      <c r="B1006" s="111"/>
      <c r="N1006" s="115">
        <f>+N974+N977+N981+N989+N992+N999+N1002</f>
        <v>174915</v>
      </c>
      <c r="O1006" s="422"/>
      <c r="P1006" s="422"/>
      <c r="Q1006" s="103"/>
      <c r="R1006" s="115">
        <f>+R974+R977+R981+R989+R992+R999</f>
        <v>1442.135</v>
      </c>
      <c r="S1006" s="115">
        <f>+S974+S977+S981+S989+S992+S999+S1002</f>
        <v>0</v>
      </c>
      <c r="T1006" s="115">
        <f>+T974+T977+T981+T989+T992+T999+T1002</f>
        <v>7717.8808333333318</v>
      </c>
      <c r="U1006" s="115">
        <f>+U974+U977+U981+U989+U992+U999+U1002</f>
        <v>7717.8808333333318</v>
      </c>
      <c r="V1006" s="115">
        <f>+V974+V977+V981+V989+V992+V999+V1002</f>
        <v>167197.11916666667</v>
      </c>
      <c r="Z1006" s="114"/>
    </row>
    <row r="1007" spans="1:26" x14ac:dyDescent="0.25">
      <c r="B1007" s="105"/>
      <c r="M1007" s="303"/>
      <c r="N1007" s="297"/>
      <c r="O1007" s="102"/>
      <c r="P1007" s="103"/>
      <c r="Q1007" s="282"/>
      <c r="R1007" s="298"/>
      <c r="S1007" s="298"/>
      <c r="T1007" s="298"/>
      <c r="U1007" s="298"/>
      <c r="V1007" s="298"/>
      <c r="Z1007" s="114"/>
    </row>
    <row r="1008" spans="1:26" s="295" customFormat="1" ht="16.5" thickBot="1" x14ac:dyDescent="0.3">
      <c r="A1008" s="22" t="s">
        <v>2759</v>
      </c>
      <c r="B1008" s="304"/>
      <c r="C1008" s="304"/>
      <c r="D1008" s="304"/>
      <c r="E1008" s="304"/>
      <c r="F1008" s="304"/>
      <c r="G1008" s="304"/>
      <c r="H1008" s="305"/>
      <c r="I1008" s="305"/>
      <c r="J1008" s="306"/>
      <c r="K1008" s="304"/>
      <c r="L1008" s="307"/>
      <c r="M1008" s="304"/>
      <c r="N1008" s="294">
        <f>+N969+N1006</f>
        <v>10039256.258318713</v>
      </c>
      <c r="O1008" s="297"/>
      <c r="P1008" s="297"/>
      <c r="Q1008" s="297"/>
      <c r="R1008" s="294">
        <f>+R969+R1006</f>
        <v>80228.098474878192</v>
      </c>
      <c r="S1008" s="294">
        <f>+S969+S1006</f>
        <v>5660724.3768106084</v>
      </c>
      <c r="T1008" s="294">
        <f>+T969+T1006</f>
        <v>6286481.4381966898</v>
      </c>
      <c r="U1008" s="294">
        <f>+U969+U1006</f>
        <v>625714.86017826421</v>
      </c>
      <c r="V1008" s="294">
        <f>+V969+V1006</f>
        <v>3752774.8201220282</v>
      </c>
      <c r="Z1008" s="114"/>
    </row>
    <row r="1009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K12" sqref="K12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30 de Noviembre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'Equipos de Producción'!$W$4</f>
        <v>42338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7.2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Octubre 2015</v>
      </c>
      <c r="T7" s="10" t="str">
        <f>+'Equipos de Producción'!$T$6</f>
        <v>Deprec. a Registrar Octubre 2015</v>
      </c>
      <c r="U7" s="129" t="s">
        <v>24</v>
      </c>
      <c r="V7" s="486" t="s">
        <v>25</v>
      </c>
      <c r="W7" s="491"/>
      <c r="X7" s="491"/>
      <c r="Y7" s="491"/>
      <c r="Z7" s="387" t="s">
        <v>26</v>
      </c>
    </row>
    <row r="8" spans="1:26" s="599" customFormat="1" ht="16.5" customHeight="1" x14ac:dyDescent="0.25">
      <c r="B8" s="600" t="s">
        <v>2639</v>
      </c>
      <c r="C8" s="601"/>
      <c r="D8" s="601"/>
      <c r="E8" s="601"/>
      <c r="F8" s="601" t="s">
        <v>885</v>
      </c>
      <c r="G8" s="132" t="str">
        <f>CONCATENATE(H8,"/",I8,"/",J8,)</f>
        <v>24/6/2009</v>
      </c>
      <c r="H8" s="601">
        <v>24</v>
      </c>
      <c r="I8" s="606">
        <v>6</v>
      </c>
      <c r="J8" s="601">
        <v>2009</v>
      </c>
      <c r="K8" s="601" t="s">
        <v>539</v>
      </c>
      <c r="L8" s="484" t="s">
        <v>2640</v>
      </c>
      <c r="M8" s="601" t="s">
        <v>2001</v>
      </c>
      <c r="N8" s="605">
        <v>28500</v>
      </c>
      <c r="P8" s="599">
        <v>5</v>
      </c>
      <c r="Q8" s="30">
        <v>0</v>
      </c>
      <c r="R8" s="30">
        <v>28499</v>
      </c>
      <c r="S8" s="30">
        <v>28499</v>
      </c>
      <c r="T8" s="602">
        <v>0</v>
      </c>
      <c r="U8" s="603">
        <f>N8-S8</f>
        <v>1</v>
      </c>
      <c r="X8" s="604">
        <f>((2011-J8)*12)+(12-I8)+1</f>
        <v>31</v>
      </c>
      <c r="Y8" s="53"/>
      <c r="Z8" s="44">
        <f>IF((DATEDIF(G8,Z$5,"m"))&gt;=60,60,(DATEDIF(G8,Z$5,"m")))</f>
        <v>60</v>
      </c>
    </row>
    <row r="9" spans="1:26" s="599" customFormat="1" ht="16.5" customHeight="1" x14ac:dyDescent="0.25">
      <c r="B9" s="600" t="s">
        <v>2767</v>
      </c>
      <c r="C9" s="601"/>
      <c r="D9" s="601" t="s">
        <v>2768</v>
      </c>
      <c r="E9" s="601"/>
      <c r="F9" s="601" t="s">
        <v>885</v>
      </c>
      <c r="G9" s="132" t="str">
        <f>CONCATENATE(H9,"/",I9,"/",J9,)</f>
        <v>20/1/2015</v>
      </c>
      <c r="H9" s="601">
        <v>20</v>
      </c>
      <c r="I9" s="606">
        <v>1</v>
      </c>
      <c r="J9" s="601">
        <v>2015</v>
      </c>
      <c r="K9" s="601" t="s">
        <v>539</v>
      </c>
      <c r="L9" s="484" t="s">
        <v>2766</v>
      </c>
      <c r="M9" s="601" t="s">
        <v>2001</v>
      </c>
      <c r="N9" s="605">
        <v>8023.76</v>
      </c>
      <c r="P9" s="599">
        <v>5</v>
      </c>
      <c r="Q9" s="30">
        <f>(((N9)-1)/5)/12</f>
        <v>133.71266666666668</v>
      </c>
      <c r="R9" s="30">
        <v>0</v>
      </c>
      <c r="S9" s="602">
        <f>Q9*Z9</f>
        <v>1337.1266666666668</v>
      </c>
      <c r="T9" s="77">
        <f t="shared" ref="T9:T11" si="0">+S9-R9</f>
        <v>1337.1266666666668</v>
      </c>
      <c r="U9" s="603">
        <f>N9-S9</f>
        <v>6686.6333333333332</v>
      </c>
      <c r="X9" s="604">
        <f>((2011-J9)*12)+(12-I9)+1</f>
        <v>-36</v>
      </c>
      <c r="Y9" s="53"/>
      <c r="Z9" s="44">
        <f>IF((DATEDIF(G9,Z$5,"m"))&gt;=60,60,(DATEDIF(G9,Z$5,"m")))</f>
        <v>10</v>
      </c>
    </row>
    <row r="10" spans="1:26" s="599" customFormat="1" ht="16.5" customHeight="1" x14ac:dyDescent="0.25">
      <c r="B10" s="600" t="s">
        <v>2769</v>
      </c>
      <c r="C10" s="601"/>
      <c r="D10" s="601"/>
      <c r="E10" s="601"/>
      <c r="F10" s="601" t="s">
        <v>885</v>
      </c>
      <c r="G10" s="132" t="str">
        <f>CONCATENATE(H10,"/",I10,"/",J10,)</f>
        <v>20/1/2015</v>
      </c>
      <c r="H10" s="601">
        <v>20</v>
      </c>
      <c r="I10" s="606">
        <v>1</v>
      </c>
      <c r="J10" s="601">
        <v>2015</v>
      </c>
      <c r="K10" s="601" t="s">
        <v>539</v>
      </c>
      <c r="L10" s="484" t="s">
        <v>2766</v>
      </c>
      <c r="M10" s="601" t="s">
        <v>2001</v>
      </c>
      <c r="N10" s="605">
        <v>4926.5</v>
      </c>
      <c r="P10" s="599">
        <v>5</v>
      </c>
      <c r="Q10" s="30">
        <f>(((N10)-1)/5)/12</f>
        <v>82.091666666666669</v>
      </c>
      <c r="R10" s="30">
        <v>0</v>
      </c>
      <c r="S10" s="602">
        <f>Q10*Z10</f>
        <v>820.91666666666674</v>
      </c>
      <c r="T10" s="77">
        <f t="shared" si="0"/>
        <v>820.91666666666674</v>
      </c>
      <c r="U10" s="603">
        <f>N10-S10</f>
        <v>4105.583333333333</v>
      </c>
      <c r="X10" s="604">
        <f>((2011-J10)*12)+(12-I10)+1</f>
        <v>-36</v>
      </c>
      <c r="Y10" s="53"/>
      <c r="Z10" s="44">
        <f>IF((DATEDIF(G10,Z$5,"m"))&gt;=60,60,(DATEDIF(G10,Z$5,"m")))</f>
        <v>10</v>
      </c>
    </row>
    <row r="11" spans="1:26" s="599" customFormat="1" ht="16.5" customHeight="1" x14ac:dyDescent="0.25">
      <c r="B11" s="600" t="s">
        <v>2824</v>
      </c>
      <c r="C11" s="601"/>
      <c r="D11" s="601"/>
      <c r="E11" s="601"/>
      <c r="F11" s="601" t="s">
        <v>885</v>
      </c>
      <c r="G11" s="132" t="str">
        <f>CONCATENATE(H11,"/",I11,"/",J11,)</f>
        <v>3/2/2015</v>
      </c>
      <c r="H11" s="601">
        <v>3</v>
      </c>
      <c r="I11" s="606">
        <v>2</v>
      </c>
      <c r="J11" s="601">
        <v>2015</v>
      </c>
      <c r="K11" s="601" t="s">
        <v>539</v>
      </c>
      <c r="L11" s="484" t="s">
        <v>2825</v>
      </c>
      <c r="M11" s="601" t="s">
        <v>2001</v>
      </c>
      <c r="N11" s="605">
        <v>55622.73</v>
      </c>
      <c r="P11" s="599">
        <v>5</v>
      </c>
      <c r="Q11" s="30">
        <f>(((N11)-1)/5)/12</f>
        <v>927.02883333333341</v>
      </c>
      <c r="R11" s="30">
        <v>0</v>
      </c>
      <c r="S11" s="602">
        <f>Q11*Z11</f>
        <v>8343.2595000000001</v>
      </c>
      <c r="T11" s="77">
        <f t="shared" si="0"/>
        <v>8343.2595000000001</v>
      </c>
      <c r="U11" s="603">
        <f>N11-S11</f>
        <v>47279.470500000003</v>
      </c>
      <c r="X11" s="604">
        <f>((2011-J11)*12)+(12-I11)+1</f>
        <v>-37</v>
      </c>
      <c r="Y11" s="53"/>
      <c r="Z11" s="44">
        <f>IF((DATEDIF(G11,Z$5,"m"))&gt;=60,60,(DATEDIF(G11,Z$5,"m")))</f>
        <v>9</v>
      </c>
    </row>
    <row r="12" spans="1:26" s="599" customFormat="1" ht="16.5" customHeight="1" x14ac:dyDescent="0.25">
      <c r="B12" s="600" t="s">
        <v>2869</v>
      </c>
      <c r="C12" s="601"/>
      <c r="D12" s="601"/>
      <c r="E12" s="601"/>
      <c r="F12" s="601" t="s">
        <v>564</v>
      </c>
      <c r="G12" s="132" t="str">
        <f>CONCATENATE(H12,"/",I12,"/",J12,)</f>
        <v>1/4/2015</v>
      </c>
      <c r="H12" s="601">
        <v>1</v>
      </c>
      <c r="I12" s="606">
        <v>4</v>
      </c>
      <c r="J12" s="601">
        <v>2015</v>
      </c>
      <c r="K12" s="601" t="s">
        <v>539</v>
      </c>
      <c r="L12" s="484" t="s">
        <v>2844</v>
      </c>
      <c r="M12" s="601" t="s">
        <v>2001</v>
      </c>
      <c r="N12" s="605">
        <v>4974.95</v>
      </c>
      <c r="P12" s="599">
        <v>5</v>
      </c>
      <c r="Q12" s="30">
        <f>(((N12)-1)/5)/12</f>
        <v>82.899166666666659</v>
      </c>
      <c r="R12" s="30">
        <v>0</v>
      </c>
      <c r="S12" s="602">
        <f>Q12*Z12</f>
        <v>580.29416666666657</v>
      </c>
      <c r="T12" s="77">
        <f t="shared" ref="T12" si="1">+S12-R12</f>
        <v>580.29416666666657</v>
      </c>
      <c r="U12" s="603">
        <f>N12-S12</f>
        <v>4394.6558333333332</v>
      </c>
      <c r="X12" s="604">
        <f>((2011-J12)*12)+(12-I12)+1</f>
        <v>-39</v>
      </c>
      <c r="Y12" s="53"/>
      <c r="Z12" s="44">
        <f>IF((DATEDIF(G12,Z$5,"m"))&gt;=60,60,(DATEDIF(G12,Z$5,"m")))</f>
        <v>7</v>
      </c>
    </row>
    <row r="13" spans="1:26" ht="16.5" thickBot="1" x14ac:dyDescent="0.3">
      <c r="B13" s="496" t="s">
        <v>2572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483"/>
      <c r="N13" s="613">
        <f>SUM(N8:N12)</f>
        <v>102047.94</v>
      </c>
      <c r="Q13" s="613">
        <f>SUM(Q8:Q12)</f>
        <v>1225.7323333333334</v>
      </c>
      <c r="R13" s="613">
        <f>SUM(R8:R12)</f>
        <v>28499</v>
      </c>
      <c r="S13" s="613">
        <f>SUM(S8:S12)</f>
        <v>39580.597000000002</v>
      </c>
      <c r="T13" s="613">
        <f>SUM(T8:T12)</f>
        <v>11081.597</v>
      </c>
      <c r="U13" s="613">
        <f>SUM(U8:U12)</f>
        <v>62467.343000000001</v>
      </c>
    </row>
    <row r="14" spans="1:26" ht="16.5" thickTop="1" x14ac:dyDescent="0.25"/>
    <row r="15" spans="1:26" s="483" customFormat="1" x14ac:dyDescent="0.25"/>
    <row r="16" spans="1:26" s="483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32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30" customWidth="1"/>
    <col min="9" max="11" width="15.7109375" style="530" customWidth="1"/>
    <col min="12" max="12" width="15.7109375" style="374" customWidth="1"/>
    <col min="13" max="13" width="15.7109375" style="531" customWidth="1"/>
    <col min="14" max="14" width="12.85546875" style="530" bestFit="1" customWidth="1"/>
    <col min="15" max="15" width="13.5703125" style="530" customWidth="1"/>
    <col min="16" max="16" width="14.85546875" style="530" bestFit="1" customWidth="1"/>
    <col min="17" max="17" width="14" style="530" customWidth="1"/>
    <col min="18" max="18" width="14.7109375" style="530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30 de Noviembre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42338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35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2648</v>
      </c>
      <c r="I6" s="385" t="s">
        <v>2647</v>
      </c>
      <c r="J6" s="385" t="s">
        <v>2646</v>
      </c>
      <c r="K6" s="385" t="s">
        <v>2645</v>
      </c>
      <c r="L6" s="534" t="s">
        <v>2644</v>
      </c>
      <c r="M6" s="533" t="s">
        <v>2643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Octubre 2015</v>
      </c>
      <c r="Q6" s="10" t="str">
        <f>+'Equipos de Producción'!$T$6</f>
        <v>Deprec. a Registrar Octubre 2015</v>
      </c>
      <c r="R6" s="129" t="s">
        <v>24</v>
      </c>
      <c r="T6" s="387" t="s">
        <v>26</v>
      </c>
    </row>
    <row r="7" spans="1:20" ht="47.25" x14ac:dyDescent="0.25">
      <c r="A7" s="544" t="s">
        <v>2642</v>
      </c>
      <c r="B7" s="483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2641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3">
        <v>50</v>
      </c>
      <c r="N7" s="5">
        <f>(((L7)-1)/50)/12</f>
        <v>74856.093900000007</v>
      </c>
      <c r="O7" s="5">
        <v>9881004.3948000018</v>
      </c>
      <c r="P7" s="5">
        <f>N7*T7</f>
        <v>10629565.333800001</v>
      </c>
      <c r="Q7" s="15">
        <f>P7-O7</f>
        <v>748560.93899999931</v>
      </c>
      <c r="R7" s="5">
        <f>L7-P7</f>
        <v>34284092.006200001</v>
      </c>
      <c r="T7" s="44">
        <f>IF((DATEDIF(C7,T$4,"m"))&gt;=600,600,(DATEDIF(C7,T$4,"m")))</f>
        <v>142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2015-06-01T16:01:24Z</cp:lastPrinted>
  <dcterms:created xsi:type="dcterms:W3CDTF">2015-04-07T19:09:43Z</dcterms:created>
  <dcterms:modified xsi:type="dcterms:W3CDTF">2015-12-04T21:02:39Z</dcterms:modified>
</cp:coreProperties>
</file>